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24226"/>
  <mc:AlternateContent xmlns:mc="http://schemas.openxmlformats.org/markup-compatibility/2006">
    <mc:Choice Requires="x15">
      <x15ac:absPath xmlns:x15ac="http://schemas.microsoft.com/office/spreadsheetml/2010/11/ac" url="D:\Office\Rahul Lakhe &amp; Associates\Company\SEWARTH SHETKARI\Project Report\DPR For Bank\"/>
    </mc:Choice>
  </mc:AlternateContent>
  <xr:revisionPtr revIDLastSave="0" documentId="13_ncr:1_{E126F818-10D2-41E0-9DE2-6CC1FE3BC8D1}" xr6:coauthVersionLast="47" xr6:coauthVersionMax="47" xr10:uidLastSave="{00000000-0000-0000-0000-000000000000}"/>
  <bookViews>
    <workbookView xWindow="-108" yWindow="-108" windowWidth="23256" windowHeight="12456" tabRatio="787" activeTab="2" xr2:uid="{00000000-000D-0000-FFFF-FFFF00000000}"/>
  </bookViews>
  <sheets>
    <sheet name="logo" sheetId="10" r:id="rId1"/>
    <sheet name="Project at Glance" sheetId="17" state="hidden" r:id="rId2"/>
    <sheet name="2. Budget" sheetId="24" r:id="rId3"/>
    <sheet name="3. profitability" sheetId="12" r:id="rId4"/>
    <sheet name="Sheet1" sheetId="16" state="hidden" r:id="rId5"/>
    <sheet name="4. balance sheet" sheetId="5" r:id="rId6"/>
    <sheet name="5. Cash Flow" sheetId="23" r:id="rId7"/>
    <sheet name="6. Working Capital" sheetId="22" r:id="rId8"/>
    <sheet name="7. depreciation" sheetId="7" r:id="rId9"/>
    <sheet name="assmt WC" sheetId="6" state="hidden" r:id="rId10"/>
    <sheet name="Asset List" sheetId="14" state="hidden" r:id="rId11"/>
    <sheet name="Interest" sheetId="28" r:id="rId12"/>
    <sheet name="8.Sales" sheetId="20" r:id="rId13"/>
    <sheet name="9. Expenses" sheetId="21" r:id="rId14"/>
    <sheet name="10. Financial Indicators" sheetId="25" r:id="rId15"/>
    <sheet name="11.CL" sheetId="27" r:id="rId16"/>
    <sheet name="Sheet3" sheetId="26" r:id="rId17"/>
    <sheet name="Sheet2" sheetId="18" r:id="rId18"/>
  </sheets>
  <externalReferences>
    <externalReference r:id="rId19"/>
    <externalReference r:id="rId20"/>
  </externalReferences>
  <definedNames>
    <definedName name="_xlnm.Print_Area" localSheetId="3">'3. profitability'!$A$1:$I$112</definedName>
    <definedName name="_xlnm.Print_Area" localSheetId="5">'4. balance sheet'!$A$1:$I$50</definedName>
    <definedName name="_xlnm.Print_Area" localSheetId="8">'7. depreciation'!$A$1:$L$60</definedName>
    <definedName name="_xlnm.Print_Area" localSheetId="10">'Asset List'!$A$1:$D$20</definedName>
    <definedName name="_xlnm.Print_Area" localSheetId="9">'assmt WC'!$A$1:$L$27</definedName>
    <definedName name="_xlnm.Print_Area" localSheetId="0">logo!$A$1:$G$33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0" i="25" l="1"/>
  <c r="F110" i="25"/>
  <c r="E110" i="25"/>
  <c r="D110" i="25"/>
  <c r="C110" i="25"/>
  <c r="I31" i="12"/>
  <c r="H31" i="12"/>
  <c r="G31" i="12"/>
  <c r="F31" i="12"/>
  <c r="F33" i="12" s="1"/>
  <c r="I33" i="12"/>
  <c r="H33" i="12"/>
  <c r="G33" i="12"/>
  <c r="E33" i="12"/>
  <c r="I32" i="12"/>
  <c r="H32" i="12"/>
  <c r="G32" i="12"/>
  <c r="F32" i="12"/>
  <c r="E32" i="12"/>
  <c r="C75" i="24"/>
  <c r="C74" i="24"/>
  <c r="D12" i="28"/>
  <c r="E13" i="28" l="1"/>
  <c r="F12" i="28"/>
  <c r="G12" i="28" s="1"/>
  <c r="C13" i="28" s="1"/>
  <c r="D8" i="28"/>
  <c r="D13" i="28" l="1"/>
  <c r="F13" i="28" s="1"/>
  <c r="G13" i="28" s="1"/>
  <c r="C14" i="28" s="1"/>
  <c r="E14" i="28"/>
  <c r="D14" i="28" l="1"/>
  <c r="F14" i="28" s="1"/>
  <c r="G14" i="28" s="1"/>
  <c r="C15" i="28" s="1"/>
  <c r="E15" i="28"/>
  <c r="D15" i="28" l="1"/>
  <c r="F15" i="28" s="1"/>
  <c r="G15" i="28" s="1"/>
  <c r="C16" i="28" s="1"/>
  <c r="E16" i="28"/>
  <c r="E17" i="28" l="1"/>
  <c r="D16" i="28"/>
  <c r="F16" i="28" s="1"/>
  <c r="G16" i="28" s="1"/>
  <c r="C17" i="28" s="1"/>
  <c r="D17" i="28" l="1"/>
  <c r="F17" i="28" s="1"/>
  <c r="G17" i="28" s="1"/>
  <c r="C18" i="28" s="1"/>
  <c r="E18" i="28"/>
  <c r="E19" i="28" l="1"/>
  <c r="D18" i="28"/>
  <c r="F18" i="28" s="1"/>
  <c r="G18" i="28" s="1"/>
  <c r="C19" i="28" s="1"/>
  <c r="D19" i="28" l="1"/>
  <c r="F19" i="28" s="1"/>
  <c r="G19" i="28" s="1"/>
  <c r="C20" i="28" s="1"/>
  <c r="E20" i="28"/>
  <c r="D20" i="28" l="1"/>
  <c r="F20" i="28" s="1"/>
  <c r="G20" i="28" s="1"/>
  <c r="C21" i="28" s="1"/>
  <c r="E21" i="28"/>
  <c r="D21" i="28" l="1"/>
  <c r="F21" i="28" s="1"/>
  <c r="G21" i="28" s="1"/>
  <c r="C22" i="28" s="1"/>
  <c r="E22" i="28"/>
  <c r="D22" i="28" l="1"/>
  <c r="F22" i="28" s="1"/>
  <c r="G22" i="28" s="1"/>
  <c r="C23" i="28" s="1"/>
  <c r="E23" i="28"/>
  <c r="D23" i="28" l="1"/>
  <c r="H23" i="28" s="1"/>
  <c r="E24" i="28"/>
  <c r="F23" i="28" l="1"/>
  <c r="G23" i="28" s="1"/>
  <c r="C24" i="28" s="1"/>
  <c r="E25" i="28"/>
  <c r="E26" i="28" l="1"/>
  <c r="D24" i="28"/>
  <c r="F24" i="28" l="1"/>
  <c r="G24" i="28" s="1"/>
  <c r="C25" i="28" s="1"/>
  <c r="E27" i="28"/>
  <c r="E28" i="28" l="1"/>
  <c r="D25" i="28"/>
  <c r="F25" i="28" l="1"/>
  <c r="G25" i="28" s="1"/>
  <c r="C26" i="28" s="1"/>
  <c r="E29" i="28"/>
  <c r="E30" i="28" l="1"/>
  <c r="D26" i="28"/>
  <c r="F26" i="28" l="1"/>
  <c r="G26" i="28" s="1"/>
  <c r="C27" i="28" s="1"/>
  <c r="E31" i="28"/>
  <c r="E32" i="28" l="1"/>
  <c r="D27" i="28"/>
  <c r="E33" i="28" l="1"/>
  <c r="F27" i="28"/>
  <c r="G27" i="28" s="1"/>
  <c r="C28" i="28" s="1"/>
  <c r="D28" i="28" l="1"/>
  <c r="E34" i="28"/>
  <c r="E35" i="28" l="1"/>
  <c r="F28" i="28"/>
  <c r="G28" i="28" s="1"/>
  <c r="C29" i="28" s="1"/>
  <c r="D29" i="28" l="1"/>
  <c r="F29" i="28" s="1"/>
  <c r="G29" i="28" s="1"/>
  <c r="C30" i="28" s="1"/>
  <c r="E36" i="28"/>
  <c r="D30" i="28" l="1"/>
  <c r="F30" i="28" s="1"/>
  <c r="G30" i="28" s="1"/>
  <c r="C31" i="28" s="1"/>
  <c r="E37" i="28"/>
  <c r="D31" i="28" l="1"/>
  <c r="F31" i="28" s="1"/>
  <c r="G31" i="28" s="1"/>
  <c r="C32" i="28" s="1"/>
  <c r="E38" i="28"/>
  <c r="D32" i="28" l="1"/>
  <c r="F32" i="28" s="1"/>
  <c r="G32" i="28" s="1"/>
  <c r="C33" i="28" s="1"/>
  <c r="E39" i="28"/>
  <c r="D33" i="28" l="1"/>
  <c r="F33" i="28" s="1"/>
  <c r="G33" i="28" s="1"/>
  <c r="C34" i="28" s="1"/>
  <c r="E40" i="28"/>
  <c r="E41" i="28" l="1"/>
  <c r="D34" i="28"/>
  <c r="F34" i="28" s="1"/>
  <c r="G34" i="28" s="1"/>
  <c r="C35" i="28" s="1"/>
  <c r="D35" i="28" l="1"/>
  <c r="E42" i="28"/>
  <c r="H35" i="28" l="1"/>
  <c r="F35" i="28"/>
  <c r="G35" i="28" s="1"/>
  <c r="C36" i="28" s="1"/>
  <c r="E43" i="28"/>
  <c r="E44" i="28" l="1"/>
  <c r="D36" i="28"/>
  <c r="E45" i="28" l="1"/>
  <c r="F36" i="28"/>
  <c r="G36" i="28" s="1"/>
  <c r="C37" i="28" s="1"/>
  <c r="D37" i="28" l="1"/>
  <c r="E46" i="28"/>
  <c r="E47" i="28" l="1"/>
  <c r="F37" i="28"/>
  <c r="G37" i="28" s="1"/>
  <c r="C38" i="28" s="1"/>
  <c r="D38" i="28" l="1"/>
  <c r="E48" i="28"/>
  <c r="F38" i="28" l="1"/>
  <c r="G38" i="28" s="1"/>
  <c r="C39" i="28" s="1"/>
  <c r="E49" i="28"/>
  <c r="E50" i="28" l="1"/>
  <c r="D39" i="28"/>
  <c r="F39" i="28" l="1"/>
  <c r="G39" i="28" s="1"/>
  <c r="C40" i="28" s="1"/>
  <c r="E51" i="28"/>
  <c r="E52" i="28" l="1"/>
  <c r="D40" i="28"/>
  <c r="F40" i="28" l="1"/>
  <c r="G40" i="28" s="1"/>
  <c r="C41" i="28" s="1"/>
  <c r="E53" i="28"/>
  <c r="E54" i="28" l="1"/>
  <c r="D41" i="28"/>
  <c r="F41" i="28" s="1"/>
  <c r="G41" i="28" s="1"/>
  <c r="C42" i="28" s="1"/>
  <c r="D42" i="28" l="1"/>
  <c r="F42" i="28" s="1"/>
  <c r="G42" i="28" s="1"/>
  <c r="C43" i="28" s="1"/>
  <c r="E55" i="28"/>
  <c r="D43" i="28" l="1"/>
  <c r="F43" i="28" s="1"/>
  <c r="G43" i="28" s="1"/>
  <c r="C44" i="28" s="1"/>
  <c r="E56" i="28"/>
  <c r="D44" i="28" l="1"/>
  <c r="F44" i="28" s="1"/>
  <c r="G44" i="28" s="1"/>
  <c r="C45" i="28" s="1"/>
  <c r="E57" i="28"/>
  <c r="D45" i="28" l="1"/>
  <c r="F45" i="28" s="1"/>
  <c r="G45" i="28" s="1"/>
  <c r="C46" i="28" s="1"/>
  <c r="E58" i="28"/>
  <c r="D46" i="28" l="1"/>
  <c r="F46" i="28" s="1"/>
  <c r="G46" i="28" s="1"/>
  <c r="C47" i="28" s="1"/>
  <c r="E59" i="28"/>
  <c r="D47" i="28" l="1"/>
  <c r="E60" i="28"/>
  <c r="F47" i="28" l="1"/>
  <c r="G47" i="28" s="1"/>
  <c r="C48" i="28" s="1"/>
  <c r="H47" i="28"/>
  <c r="E61" i="28"/>
  <c r="E62" i="28" l="1"/>
  <c r="D48" i="28"/>
  <c r="F48" i="28" l="1"/>
  <c r="G48" i="28" s="1"/>
  <c r="C49" i="28" s="1"/>
  <c r="E63" i="28"/>
  <c r="E64" i="28" l="1"/>
  <c r="D49" i="28"/>
  <c r="F49" i="28" l="1"/>
  <c r="G49" i="28" s="1"/>
  <c r="C50" i="28" s="1"/>
  <c r="E65" i="28"/>
  <c r="E66" i="28" l="1"/>
  <c r="D50" i="28"/>
  <c r="F50" i="28" l="1"/>
  <c r="G50" i="28" s="1"/>
  <c r="C51" i="28" s="1"/>
  <c r="E67" i="28"/>
  <c r="E68" i="28" l="1"/>
  <c r="D51" i="28"/>
  <c r="F51" i="28" l="1"/>
  <c r="G51" i="28" s="1"/>
  <c r="C52" i="28" s="1"/>
  <c r="E69" i="28"/>
  <c r="E70" i="28" l="1"/>
  <c r="D52" i="28"/>
  <c r="F52" i="28" l="1"/>
  <c r="G52" i="28" s="1"/>
  <c r="C53" i="28" s="1"/>
  <c r="D53" i="28" l="1"/>
  <c r="F53" i="28" s="1"/>
  <c r="G53" i="28" s="1"/>
  <c r="C54" i="28" s="1"/>
  <c r="D54" i="28" l="1"/>
  <c r="F54" i="28" s="1"/>
  <c r="G54" i="28" s="1"/>
  <c r="C55" i="28" s="1"/>
  <c r="D55" i="28" l="1"/>
  <c r="F55" i="28" s="1"/>
  <c r="G55" i="28" s="1"/>
  <c r="C56" i="28" s="1"/>
  <c r="D56" i="28" l="1"/>
  <c r="F56" i="28" s="1"/>
  <c r="G56" i="28" s="1"/>
  <c r="C57" i="28" s="1"/>
  <c r="D57" i="28" l="1"/>
  <c r="F57" i="28" s="1"/>
  <c r="G57" i="28" s="1"/>
  <c r="C58" i="28" s="1"/>
  <c r="D58" i="28" l="1"/>
  <c r="F58" i="28" s="1"/>
  <c r="G58" i="28" s="1"/>
  <c r="C59" i="28" s="1"/>
  <c r="D59" i="28" l="1"/>
  <c r="F59" i="28" l="1"/>
  <c r="G59" i="28" s="1"/>
  <c r="C60" i="28" s="1"/>
  <c r="H59" i="28"/>
  <c r="D60" i="28" l="1"/>
  <c r="F60" i="28" l="1"/>
  <c r="G60" i="28" s="1"/>
  <c r="C61" i="28" s="1"/>
  <c r="D61" i="28" l="1"/>
  <c r="F61" i="28" l="1"/>
  <c r="G61" i="28" s="1"/>
  <c r="C62" i="28" s="1"/>
  <c r="D62" i="28" l="1"/>
  <c r="F62" i="28" l="1"/>
  <c r="G62" i="28" s="1"/>
  <c r="C63" i="28" s="1"/>
  <c r="D63" i="28" l="1"/>
  <c r="F63" i="28" l="1"/>
  <c r="G63" i="28" s="1"/>
  <c r="C64" i="28" s="1"/>
  <c r="D64" i="28" l="1"/>
  <c r="F64" i="28" l="1"/>
  <c r="G64" i="28" s="1"/>
  <c r="C65" i="28" s="1"/>
  <c r="D65" i="28" l="1"/>
  <c r="F65" i="28" s="1"/>
  <c r="G65" i="28" s="1"/>
  <c r="C66" i="28" s="1"/>
  <c r="D66" i="28" l="1"/>
  <c r="F66" i="28" s="1"/>
  <c r="G66" i="28" s="1"/>
  <c r="C67" i="28" s="1"/>
  <c r="D67" i="28" l="1"/>
  <c r="F67" i="28" s="1"/>
  <c r="G67" i="28" s="1"/>
  <c r="C68" i="28" s="1"/>
  <c r="D68" i="28" l="1"/>
  <c r="F68" i="28" s="1"/>
  <c r="G68" i="28" s="1"/>
  <c r="C69" i="28" s="1"/>
  <c r="D69" i="28" l="1"/>
  <c r="F69" i="28" s="1"/>
  <c r="G69" i="28" s="1"/>
  <c r="C70" i="28" s="1"/>
  <c r="D70" i="28" l="1"/>
  <c r="F70" i="28" s="1"/>
  <c r="G70" i="28" s="1"/>
  <c r="C71" i="28" s="1"/>
  <c r="F71" i="28" l="1"/>
  <c r="G71" i="28" s="1"/>
  <c r="D71" i="28"/>
  <c r="E71" i="28" l="1"/>
  <c r="H71" i="28"/>
  <c r="E52" i="24" l="1"/>
  <c r="F52" i="24" s="1"/>
  <c r="E51" i="24"/>
  <c r="C64" i="24" s="1"/>
  <c r="F51" i="24" l="1"/>
  <c r="D64" i="24"/>
  <c r="C20" i="7"/>
  <c r="H20" i="7" s="1"/>
  <c r="I26" i="20"/>
  <c r="H22" i="7" l="1"/>
  <c r="H23" i="7" s="1"/>
  <c r="I20" i="7" s="1"/>
  <c r="H26" i="20"/>
  <c r="G39" i="21"/>
  <c r="F39" i="21"/>
  <c r="E39" i="21"/>
  <c r="D39" i="21"/>
  <c r="F25" i="7"/>
  <c r="G25" i="7"/>
  <c r="C56" i="21"/>
  <c r="C54" i="21"/>
  <c r="C53" i="21"/>
  <c r="C47" i="21"/>
  <c r="C46" i="21"/>
  <c r="C45" i="21"/>
  <c r="C73" i="21"/>
  <c r="I22" i="7" l="1"/>
  <c r="I23" i="7" s="1"/>
  <c r="J20" i="7" s="1"/>
  <c r="J22" i="7" s="1"/>
  <c r="J23" i="7" s="1"/>
  <c r="K20" i="7" s="1"/>
  <c r="E27" i="24"/>
  <c r="K22" i="7" l="1"/>
  <c r="K23" i="7" s="1"/>
  <c r="L20" i="7" s="1"/>
  <c r="M24" i="20"/>
  <c r="N24" i="20" s="1"/>
  <c r="L22" i="7" l="1"/>
  <c r="L23" i="7"/>
  <c r="I75" i="25"/>
  <c r="I78" i="25" s="1"/>
  <c r="E24" i="12" l="1"/>
  <c r="L10" i="26" l="1"/>
  <c r="G6" i="26"/>
  <c r="P6" i="26" l="1"/>
  <c r="N5" i="26"/>
  <c r="N4" i="26"/>
  <c r="K6" i="26"/>
  <c r="J6" i="26"/>
  <c r="I6" i="26"/>
  <c r="H6" i="26"/>
  <c r="F6" i="26"/>
  <c r="E6" i="26"/>
  <c r="D6" i="26"/>
  <c r="C6" i="26"/>
  <c r="B89" i="25"/>
  <c r="B88" i="25"/>
  <c r="D112" i="25" l="1"/>
  <c r="C112" i="25"/>
  <c r="D107" i="25"/>
  <c r="C107" i="25"/>
  <c r="G112" i="25" l="1"/>
  <c r="G15" i="21" l="1"/>
  <c r="I24" i="12" s="1"/>
  <c r="F15" i="21"/>
  <c r="H24" i="12" s="1"/>
  <c r="E15" i="21"/>
  <c r="G24" i="12" s="1"/>
  <c r="D15" i="21"/>
  <c r="F24" i="12" s="1"/>
  <c r="E50" i="24" l="1"/>
  <c r="E49" i="24"/>
  <c r="E48" i="24"/>
  <c r="F48" i="24" s="1"/>
  <c r="E47" i="24"/>
  <c r="F47" i="24" s="1"/>
  <c r="E46" i="24"/>
  <c r="F46" i="24" s="1"/>
  <c r="E45" i="24"/>
  <c r="F45" i="24" s="1"/>
  <c r="E44" i="24"/>
  <c r="F44" i="24" s="1"/>
  <c r="E43" i="24"/>
  <c r="F43" i="24" s="1"/>
  <c r="E42" i="24"/>
  <c r="F42" i="24" s="1"/>
  <c r="E41" i="24"/>
  <c r="F41" i="24" s="1"/>
  <c r="E40" i="24"/>
  <c r="F40" i="24" s="1"/>
  <c r="E39" i="24"/>
  <c r="F39" i="24" s="1"/>
  <c r="E38" i="24"/>
  <c r="F38" i="24" s="1"/>
  <c r="E37" i="24"/>
  <c r="F37" i="24" s="1"/>
  <c r="E36" i="24"/>
  <c r="F36" i="24" s="1"/>
  <c r="E35" i="24"/>
  <c r="F35" i="24" s="1"/>
  <c r="E34" i="24"/>
  <c r="F34" i="24" s="1"/>
  <c r="E33" i="24"/>
  <c r="F33" i="24" s="1"/>
  <c r="E32" i="24"/>
  <c r="F32" i="24" s="1"/>
  <c r="E31" i="24"/>
  <c r="F31" i="24" s="1"/>
  <c r="E30" i="24"/>
  <c r="F30" i="24" s="1"/>
  <c r="E29" i="24"/>
  <c r="F29" i="24" s="1"/>
  <c r="E28" i="24"/>
  <c r="F28" i="24" s="1"/>
  <c r="F27" i="24"/>
  <c r="E26" i="24"/>
  <c r="F26" i="24" s="1"/>
  <c r="E25" i="24"/>
  <c r="F25" i="24" s="1"/>
  <c r="E24" i="24"/>
  <c r="F24" i="24" s="1"/>
  <c r="E23" i="24"/>
  <c r="F23" i="24" s="1"/>
  <c r="E22" i="24"/>
  <c r="F22" i="24" s="1"/>
  <c r="E21" i="24"/>
  <c r="F21" i="24" s="1"/>
  <c r="E20" i="24"/>
  <c r="F20" i="24" s="1"/>
  <c r="E19" i="24"/>
  <c r="F19" i="24" s="1"/>
  <c r="E18" i="24"/>
  <c r="F18" i="24" s="1"/>
  <c r="E17" i="24"/>
  <c r="F17" i="24" s="1"/>
  <c r="E16" i="24"/>
  <c r="F16" i="24" s="1"/>
  <c r="E15" i="24"/>
  <c r="E14" i="24"/>
  <c r="F14" i="24" s="1"/>
  <c r="E13" i="24"/>
  <c r="F13" i="24" s="1"/>
  <c r="E12" i="24"/>
  <c r="F12" i="24" s="1"/>
  <c r="E11" i="24"/>
  <c r="F11" i="24" s="1"/>
  <c r="E10" i="24"/>
  <c r="F10" i="24" s="1"/>
  <c r="E9" i="24"/>
  <c r="F9" i="24" s="1"/>
  <c r="E8" i="24"/>
  <c r="F8" i="24" s="1"/>
  <c r="E7" i="24"/>
  <c r="F7" i="24" s="1"/>
  <c r="E6" i="24"/>
  <c r="C61" i="24" l="1"/>
  <c r="D61" i="24" s="1"/>
  <c r="C60" i="24"/>
  <c r="F49" i="24"/>
  <c r="C63" i="24"/>
  <c r="F50" i="24"/>
  <c r="C62" i="24"/>
  <c r="F15" i="24"/>
  <c r="C85" i="24"/>
  <c r="E38" i="21"/>
  <c r="F38" i="21" s="1"/>
  <c r="G38" i="21" s="1"/>
  <c r="C57" i="21"/>
  <c r="D49" i="21" s="1"/>
  <c r="E48" i="21"/>
  <c r="C55" i="21"/>
  <c r="F47" i="21" s="1"/>
  <c r="G46" i="21"/>
  <c r="D45" i="21"/>
  <c r="D62" i="24" l="1"/>
  <c r="C16" i="7"/>
  <c r="D63" i="24"/>
  <c r="C11" i="7"/>
  <c r="C8" i="7"/>
  <c r="C7" i="7"/>
  <c r="D60" i="24"/>
  <c r="F46" i="21"/>
  <c r="E45" i="21"/>
  <c r="D46" i="21"/>
  <c r="F45" i="21"/>
  <c r="E46" i="21"/>
  <c r="F48" i="21"/>
  <c r="E49" i="21"/>
  <c r="F49" i="21"/>
  <c r="G47" i="21"/>
  <c r="D47" i="21"/>
  <c r="G48" i="21"/>
  <c r="D48" i="21"/>
  <c r="E47" i="21"/>
  <c r="G45" i="21"/>
  <c r="G49" i="21"/>
  <c r="C57" i="7" l="1"/>
  <c r="H6" i="7"/>
  <c r="G18" i="20"/>
  <c r="G20" i="20" s="1"/>
  <c r="F18" i="20"/>
  <c r="F20" i="20" s="1"/>
  <c r="E18" i="20"/>
  <c r="E20" i="20" s="1"/>
  <c r="D18" i="20"/>
  <c r="D20" i="20" s="1"/>
  <c r="C18" i="20"/>
  <c r="F22" i="20" l="1"/>
  <c r="F21" i="20"/>
  <c r="G22" i="20"/>
  <c r="G21" i="20"/>
  <c r="D22" i="20"/>
  <c r="D21" i="20"/>
  <c r="E22" i="20"/>
  <c r="E21" i="20"/>
  <c r="C12" i="26"/>
  <c r="C16" i="26"/>
  <c r="C14" i="26"/>
  <c r="G19" i="20" l="1"/>
  <c r="F19" i="20"/>
  <c r="E19" i="20"/>
  <c r="D19" i="20"/>
  <c r="C19" i="20"/>
  <c r="B91" i="25" l="1"/>
  <c r="B90" i="25"/>
  <c r="C58" i="25"/>
  <c r="D58" i="25" s="1"/>
  <c r="E58" i="25" s="1"/>
  <c r="F58" i="25" s="1"/>
  <c r="G58" i="25" s="1"/>
  <c r="I10" i="5"/>
  <c r="I10" i="22" s="1"/>
  <c r="H10" i="5"/>
  <c r="H10" i="22" s="1"/>
  <c r="G10" i="5"/>
  <c r="G10" i="22" s="1"/>
  <c r="F10" i="5"/>
  <c r="F10" i="22" s="1"/>
  <c r="D36" i="5"/>
  <c r="C36" i="5"/>
  <c r="B36" i="5"/>
  <c r="B38" i="5" s="1"/>
  <c r="C35" i="5" s="1"/>
  <c r="B33" i="5"/>
  <c r="C33" i="5" s="1"/>
  <c r="D33" i="5" s="1"/>
  <c r="B32" i="5"/>
  <c r="H27" i="5"/>
  <c r="D27" i="5"/>
  <c r="C27" i="5"/>
  <c r="B27" i="5"/>
  <c r="D26" i="5"/>
  <c r="C26" i="5"/>
  <c r="B26" i="5"/>
  <c r="B17" i="5"/>
  <c r="C17" i="5" s="1"/>
  <c r="D17" i="5" s="1"/>
  <c r="D13" i="5"/>
  <c r="C13" i="5"/>
  <c r="B13" i="5"/>
  <c r="D12" i="5"/>
  <c r="C12" i="5"/>
  <c r="B12" i="5"/>
  <c r="D7" i="5"/>
  <c r="D10" i="5" s="1"/>
  <c r="C7" i="5"/>
  <c r="C10" i="5" s="1"/>
  <c r="B7" i="5"/>
  <c r="B10" i="5" s="1"/>
  <c r="C20" i="23"/>
  <c r="C19" i="23"/>
  <c r="F6" i="24"/>
  <c r="C14" i="5" l="1"/>
  <c r="C18" i="23"/>
  <c r="C17" i="23"/>
  <c r="C30" i="5"/>
  <c r="C38" i="5"/>
  <c r="D35" i="5" s="1"/>
  <c r="D38" i="5" s="1"/>
  <c r="E35" i="5" s="1"/>
  <c r="B14" i="5"/>
  <c r="B19" i="5" s="1"/>
  <c r="B30" i="5"/>
  <c r="D14" i="5"/>
  <c r="D19" i="5" s="1"/>
  <c r="D30" i="5"/>
  <c r="C19" i="5"/>
  <c r="B40" i="5"/>
  <c r="B42" i="5" s="1"/>
  <c r="C32" i="5"/>
  <c r="B45" i="5" l="1"/>
  <c r="D32" i="5"/>
  <c r="C40" i="5"/>
  <c r="C42" i="5" s="1"/>
  <c r="C45" i="5" s="1"/>
  <c r="D40" i="5" l="1"/>
  <c r="D42" i="5" s="1"/>
  <c r="D45" i="5" s="1"/>
  <c r="G26" i="23" l="1"/>
  <c r="F26" i="23"/>
  <c r="E26" i="23"/>
  <c r="D26" i="23"/>
  <c r="C26" i="23"/>
  <c r="I13" i="22"/>
  <c r="H13" i="22"/>
  <c r="G13" i="22"/>
  <c r="F13" i="22"/>
  <c r="E13" i="22"/>
  <c r="G23" i="20"/>
  <c r="F23" i="20"/>
  <c r="E23" i="20"/>
  <c r="D23" i="20"/>
  <c r="C90" i="21"/>
  <c r="C93" i="21" s="1"/>
  <c r="D85" i="21"/>
  <c r="E85" i="21" s="1"/>
  <c r="F85" i="21" s="1"/>
  <c r="G85" i="21" s="1"/>
  <c r="D116" i="21"/>
  <c r="E116" i="21" s="1"/>
  <c r="D113" i="21"/>
  <c r="E113" i="21" s="1"/>
  <c r="F113" i="21" s="1"/>
  <c r="D110" i="21"/>
  <c r="E110" i="21" s="1"/>
  <c r="F110" i="21" s="1"/>
  <c r="G110" i="21" s="1"/>
  <c r="D109" i="21"/>
  <c r="E109" i="21" s="1"/>
  <c r="D106" i="21"/>
  <c r="E106" i="21" s="1"/>
  <c r="F106" i="21" s="1"/>
  <c r="G106" i="21" s="1"/>
  <c r="D97" i="21"/>
  <c r="D96" i="21"/>
  <c r="E96" i="21" s="1"/>
  <c r="F96" i="21" s="1"/>
  <c r="G96" i="21" s="1"/>
  <c r="D92" i="21"/>
  <c r="E92" i="21" s="1"/>
  <c r="F92" i="21" s="1"/>
  <c r="G92" i="21" s="1"/>
  <c r="D91" i="21"/>
  <c r="E91" i="21" s="1"/>
  <c r="F91" i="21" s="1"/>
  <c r="G91" i="21" s="1"/>
  <c r="D89" i="21"/>
  <c r="E89" i="21" s="1"/>
  <c r="F89" i="21" s="1"/>
  <c r="G89" i="21" s="1"/>
  <c r="D88" i="21"/>
  <c r="E88" i="21" s="1"/>
  <c r="F88" i="21" s="1"/>
  <c r="G88" i="21" s="1"/>
  <c r="D84" i="21"/>
  <c r="E84" i="21" s="1"/>
  <c r="C83" i="21"/>
  <c r="C86" i="21" s="1"/>
  <c r="D82" i="21"/>
  <c r="E82" i="21" s="1"/>
  <c r="F82" i="21" s="1"/>
  <c r="G82" i="21" s="1"/>
  <c r="D81" i="21"/>
  <c r="F12" i="22" l="1"/>
  <c r="F15" i="22" s="1"/>
  <c r="G12" i="22"/>
  <c r="G15" i="22" s="1"/>
  <c r="H12" i="22"/>
  <c r="H15" i="22" s="1"/>
  <c r="I12" i="22"/>
  <c r="I15" i="22" s="1"/>
  <c r="G90" i="21"/>
  <c r="G93" i="21" s="1"/>
  <c r="D90" i="21"/>
  <c r="D93" i="21" s="1"/>
  <c r="E90" i="21"/>
  <c r="E93" i="21" s="1"/>
  <c r="F90" i="21"/>
  <c r="F93" i="21" s="1"/>
  <c r="D83" i="21"/>
  <c r="D86" i="21" s="1"/>
  <c r="F84" i="21"/>
  <c r="E97" i="21"/>
  <c r="F97" i="21" s="1"/>
  <c r="G97" i="21" s="1"/>
  <c r="F116" i="21"/>
  <c r="G113" i="21"/>
  <c r="E111" i="21"/>
  <c r="F109" i="21"/>
  <c r="D111" i="21"/>
  <c r="C107" i="21"/>
  <c r="D105" i="21"/>
  <c r="E81" i="21"/>
  <c r="C111" i="21"/>
  <c r="E83" i="21" l="1"/>
  <c r="E86" i="21" s="1"/>
  <c r="F81" i="21"/>
  <c r="E105" i="21"/>
  <c r="D107" i="21"/>
  <c r="F111" i="21"/>
  <c r="G109" i="21"/>
  <c r="G116" i="21"/>
  <c r="G84" i="21"/>
  <c r="F83" i="21" l="1"/>
  <c r="F86" i="21" s="1"/>
  <c r="G81" i="21"/>
  <c r="G111" i="21"/>
  <c r="E107" i="21"/>
  <c r="F105" i="21"/>
  <c r="F107" i="21" l="1"/>
  <c r="G105" i="21"/>
  <c r="G83" i="21"/>
  <c r="G86" i="21" s="1"/>
  <c r="G107" i="21" l="1"/>
  <c r="D53" i="24" l="1"/>
  <c r="E53" i="24" s="1"/>
  <c r="E31" i="12"/>
  <c r="E30" i="12"/>
  <c r="E29" i="12"/>
  <c r="F53" i="24" l="1"/>
  <c r="C65" i="24"/>
  <c r="D65" i="24" s="1"/>
  <c r="D66" i="24" s="1"/>
  <c r="E63" i="21"/>
  <c r="F63" i="21"/>
  <c r="C63" i="21"/>
  <c r="G63" i="21"/>
  <c r="D63" i="21"/>
  <c r="C64" i="21" l="1"/>
  <c r="E40" i="12" s="1"/>
  <c r="C106" i="25" s="1"/>
  <c r="E17" i="5"/>
  <c r="F64" i="21"/>
  <c r="H40" i="12" s="1"/>
  <c r="F106" i="25" s="1"/>
  <c r="H17" i="5"/>
  <c r="D64" i="21"/>
  <c r="F40" i="12" s="1"/>
  <c r="D106" i="25" s="1"/>
  <c r="F17" i="5"/>
  <c r="E54" i="24"/>
  <c r="G64" i="21"/>
  <c r="I40" i="12" s="1"/>
  <c r="G106" i="25" s="1"/>
  <c r="I17" i="5"/>
  <c r="E64" i="21"/>
  <c r="G40" i="12" s="1"/>
  <c r="E106" i="25" s="1"/>
  <c r="G17" i="5"/>
  <c r="G18" i="7"/>
  <c r="G19" i="7" s="1"/>
  <c r="F18" i="7"/>
  <c r="F19" i="7" s="1"/>
  <c r="H16" i="7"/>
  <c r="H18" i="7" s="1"/>
  <c r="H11" i="7"/>
  <c r="H13" i="7" s="1"/>
  <c r="G13" i="7"/>
  <c r="G14" i="7" s="1"/>
  <c r="F13" i="7"/>
  <c r="F14" i="7" s="1"/>
  <c r="H12" i="25" l="1"/>
  <c r="G54" i="25"/>
  <c r="H90" i="25"/>
  <c r="G12" i="25"/>
  <c r="G90" i="25"/>
  <c r="F54" i="25"/>
  <c r="F12" i="25"/>
  <c r="F90" i="25"/>
  <c r="E54" i="25"/>
  <c r="E12" i="25"/>
  <c r="D54" i="25"/>
  <c r="E90" i="25"/>
  <c r="D12" i="25"/>
  <c r="C54" i="25"/>
  <c r="D90" i="25"/>
  <c r="C76" i="24"/>
  <c r="C73" i="24" s="1"/>
  <c r="F54" i="24"/>
  <c r="C76" i="25"/>
  <c r="C87" i="25"/>
  <c r="C66" i="24"/>
  <c r="C21" i="23"/>
  <c r="H19" i="7"/>
  <c r="I16" i="7" s="1"/>
  <c r="H14" i="7"/>
  <c r="I11" i="7" s="1"/>
  <c r="D37" i="21"/>
  <c r="C15" i="25" l="1"/>
  <c r="C64" i="25"/>
  <c r="C50" i="21"/>
  <c r="C36" i="21" s="1"/>
  <c r="F30" i="12"/>
  <c r="E37" i="21"/>
  <c r="F29" i="12"/>
  <c r="D50" i="21"/>
  <c r="I18" i="7"/>
  <c r="I19" i="7" s="1"/>
  <c r="J16" i="7" s="1"/>
  <c r="I13" i="7"/>
  <c r="I14" i="7" s="1"/>
  <c r="J11" i="7" s="1"/>
  <c r="C3" i="27" l="1"/>
  <c r="C9" i="23"/>
  <c r="E32" i="5"/>
  <c r="E33" i="5"/>
  <c r="C11" i="23"/>
  <c r="E28" i="12"/>
  <c r="F37" i="21"/>
  <c r="G29" i="12"/>
  <c r="G30" i="12"/>
  <c r="E50" i="21"/>
  <c r="J18" i="7"/>
  <c r="J19" i="7" s="1"/>
  <c r="K16" i="7" s="1"/>
  <c r="J13" i="7"/>
  <c r="J14" i="7" s="1"/>
  <c r="K11" i="7" s="1"/>
  <c r="G58" i="20"/>
  <c r="G60" i="20" s="1"/>
  <c r="G9" i="20" s="1"/>
  <c r="I13" i="12" s="1"/>
  <c r="F58" i="20"/>
  <c r="F60" i="20" s="1"/>
  <c r="F9" i="20" s="1"/>
  <c r="H13" i="12" s="1"/>
  <c r="E58" i="20"/>
  <c r="E60" i="20" s="1"/>
  <c r="E9" i="20" s="1"/>
  <c r="G13" i="12" s="1"/>
  <c r="D58" i="20"/>
  <c r="D60" i="20" s="1"/>
  <c r="D9" i="20" s="1"/>
  <c r="F13" i="12" s="1"/>
  <c r="C60" i="20"/>
  <c r="C9" i="20" s="1"/>
  <c r="E13" i="12" s="1"/>
  <c r="C34" i="20"/>
  <c r="C36" i="20" s="1"/>
  <c r="C30" i="20"/>
  <c r="C32" i="20" s="1"/>
  <c r="E6" i="27" l="1"/>
  <c r="G25" i="5" s="1"/>
  <c r="G26" i="5" s="1"/>
  <c r="F6" i="27"/>
  <c r="H25" i="5" s="1"/>
  <c r="H26" i="5" s="1"/>
  <c r="D6" i="27"/>
  <c r="F25" i="5" s="1"/>
  <c r="F26" i="5" s="1"/>
  <c r="G6" i="27"/>
  <c r="I25" i="5" s="1"/>
  <c r="I26" i="5" s="1"/>
  <c r="C6" i="27"/>
  <c r="E25" i="5" s="1"/>
  <c r="E26" i="5" s="1"/>
  <c r="I33" i="5"/>
  <c r="H33" i="5"/>
  <c r="G33" i="5"/>
  <c r="F33" i="5"/>
  <c r="I32" i="5"/>
  <c r="H32" i="5"/>
  <c r="F32" i="5"/>
  <c r="G32" i="5"/>
  <c r="C95" i="21"/>
  <c r="C98" i="21" s="1"/>
  <c r="C100" i="21" s="1"/>
  <c r="C115" i="21"/>
  <c r="C117" i="21" s="1"/>
  <c r="C112" i="21"/>
  <c r="C114" i="21" s="1"/>
  <c r="D36" i="21"/>
  <c r="F28" i="12" s="1"/>
  <c r="I30" i="12"/>
  <c r="H30" i="12"/>
  <c r="G37" i="21"/>
  <c r="I29" i="12" s="1"/>
  <c r="H29" i="12"/>
  <c r="F50" i="21"/>
  <c r="K18" i="7"/>
  <c r="K19" i="7" s="1"/>
  <c r="L16" i="7" s="1"/>
  <c r="K13" i="7"/>
  <c r="K14" i="7" s="1"/>
  <c r="L11" i="7" s="1"/>
  <c r="C13" i="21" l="1"/>
  <c r="E22" i="12" s="1"/>
  <c r="E18" i="22"/>
  <c r="E20" i="22" s="1"/>
  <c r="E30" i="5"/>
  <c r="G30" i="5"/>
  <c r="G18" i="22"/>
  <c r="G20" i="22" s="1"/>
  <c r="G21" i="22" s="1"/>
  <c r="I30" i="5"/>
  <c r="I18" i="22"/>
  <c r="I20" i="22" s="1"/>
  <c r="I21" i="22" s="1"/>
  <c r="F30" i="5"/>
  <c r="F18" i="22"/>
  <c r="F20" i="22" s="1"/>
  <c r="F21" i="22" s="1"/>
  <c r="H30" i="5"/>
  <c r="H18" i="22"/>
  <c r="H20" i="22" s="1"/>
  <c r="H21" i="22" s="1"/>
  <c r="C119" i="21"/>
  <c r="E36" i="21"/>
  <c r="G50" i="21"/>
  <c r="L18" i="7"/>
  <c r="L19" i="7" s="1"/>
  <c r="L13" i="7"/>
  <c r="L14" i="7" s="1"/>
  <c r="C14" i="21" l="1"/>
  <c r="E23" i="12" s="1"/>
  <c r="G28" i="12"/>
  <c r="G36" i="21"/>
  <c r="I28" i="12" s="1"/>
  <c r="F36" i="21"/>
  <c r="H28" i="12" s="1"/>
  <c r="D54" i="20"/>
  <c r="D8" i="20" s="1"/>
  <c r="F12" i="12" s="1"/>
  <c r="C54" i="20"/>
  <c r="C8" i="20" s="1"/>
  <c r="E12" i="12" s="1"/>
  <c r="F52" i="20"/>
  <c r="G52" i="20" s="1"/>
  <c r="G54" i="20" s="1"/>
  <c r="G8" i="20" s="1"/>
  <c r="I12" i="12" s="1"/>
  <c r="G47" i="20"/>
  <c r="F47" i="20"/>
  <c r="E47" i="20"/>
  <c r="D47" i="20"/>
  <c r="C47" i="20"/>
  <c r="G44" i="20"/>
  <c r="F44" i="20"/>
  <c r="E44" i="20"/>
  <c r="D44" i="20"/>
  <c r="C44" i="20"/>
  <c r="G34" i="20"/>
  <c r="G36" i="20" s="1"/>
  <c r="F34" i="20"/>
  <c r="F36" i="20" s="1"/>
  <c r="E34" i="20"/>
  <c r="E36" i="20" s="1"/>
  <c r="D34" i="20"/>
  <c r="D36" i="20" s="1"/>
  <c r="G30" i="20"/>
  <c r="G32" i="20" s="1"/>
  <c r="F30" i="20"/>
  <c r="F32" i="20" s="1"/>
  <c r="E30" i="20"/>
  <c r="E32" i="20" s="1"/>
  <c r="D30" i="20"/>
  <c r="D32" i="20" s="1"/>
  <c r="F24" i="20"/>
  <c r="F5" i="20" s="1"/>
  <c r="C20" i="20"/>
  <c r="D24" i="20" l="1"/>
  <c r="D5" i="20" s="1"/>
  <c r="F9" i="12" s="1"/>
  <c r="E24" i="20"/>
  <c r="E5" i="20" s="1"/>
  <c r="G9" i="12" s="1"/>
  <c r="E48" i="20"/>
  <c r="E7" i="20" s="1"/>
  <c r="G11" i="12" s="1"/>
  <c r="G95" i="21"/>
  <c r="G98" i="21" s="1"/>
  <c r="G100" i="21" s="1"/>
  <c r="G112" i="21"/>
  <c r="G114" i="21" s="1"/>
  <c r="G115" i="21"/>
  <c r="G117" i="21" s="1"/>
  <c r="D38" i="20"/>
  <c r="D95" i="21"/>
  <c r="D98" i="21" s="1"/>
  <c r="D100" i="21" s="1"/>
  <c r="D115" i="21"/>
  <c r="D117" i="21" s="1"/>
  <c r="D112" i="21"/>
  <c r="D114" i="21" s="1"/>
  <c r="E115" i="21"/>
  <c r="E117" i="21" s="1"/>
  <c r="E95" i="21"/>
  <c r="E98" i="21" s="1"/>
  <c r="E100" i="21" s="1"/>
  <c r="E112" i="21"/>
  <c r="E114" i="21" s="1"/>
  <c r="F112" i="21"/>
  <c r="F114" i="21" s="1"/>
  <c r="F115" i="21"/>
  <c r="F117" i="21" s="1"/>
  <c r="F95" i="21"/>
  <c r="F98" i="21" s="1"/>
  <c r="F100" i="21" s="1"/>
  <c r="G48" i="20"/>
  <c r="G7" i="20" s="1"/>
  <c r="I11" i="12" s="1"/>
  <c r="F48" i="20"/>
  <c r="F7" i="20" s="1"/>
  <c r="H11" i="12" s="1"/>
  <c r="D48" i="20"/>
  <c r="D7" i="20" s="1"/>
  <c r="F11" i="12" s="1"/>
  <c r="D20" i="21"/>
  <c r="D22" i="21" s="1"/>
  <c r="D10" i="21" s="1"/>
  <c r="E38" i="20"/>
  <c r="F20" i="21"/>
  <c r="F24" i="21" s="1"/>
  <c r="F26" i="21" s="1"/>
  <c r="F11" i="21" s="1"/>
  <c r="H20" i="12" s="1"/>
  <c r="H9" i="12"/>
  <c r="G38" i="20"/>
  <c r="E20" i="21"/>
  <c r="E28" i="21" s="1"/>
  <c r="E30" i="21" s="1"/>
  <c r="E12" i="21" s="1"/>
  <c r="G21" i="12" s="1"/>
  <c r="E54" i="20"/>
  <c r="E8" i="20" s="1"/>
  <c r="G12" i="12" s="1"/>
  <c r="F54" i="20"/>
  <c r="F8" i="20" s="1"/>
  <c r="H12" i="12" s="1"/>
  <c r="C48" i="20"/>
  <c r="C7" i="20" s="1"/>
  <c r="E11" i="12" s="1"/>
  <c r="C38" i="20"/>
  <c r="C6" i="20" s="1"/>
  <c r="E10" i="12" s="1"/>
  <c r="C21" i="20"/>
  <c r="C22" i="20"/>
  <c r="C24" i="20" s="1"/>
  <c r="F13" i="21" l="1"/>
  <c r="H22" i="12" s="1"/>
  <c r="D13" i="21"/>
  <c r="F22" i="12" s="1"/>
  <c r="E13" i="21"/>
  <c r="G22" i="12" s="1"/>
  <c r="G13" i="21"/>
  <c r="I22" i="12" s="1"/>
  <c r="F18" i="12"/>
  <c r="G20" i="21"/>
  <c r="G24" i="21" s="1"/>
  <c r="G26" i="21" s="1"/>
  <c r="G11" i="21" s="1"/>
  <c r="I20" i="12" s="1"/>
  <c r="G24" i="20"/>
  <c r="G5" i="20" s="1"/>
  <c r="I9" i="12" s="1"/>
  <c r="G6" i="20"/>
  <c r="I10" i="12" s="1"/>
  <c r="D6" i="20"/>
  <c r="F10" i="12" s="1"/>
  <c r="F14" i="12" s="1"/>
  <c r="E6" i="20"/>
  <c r="G10" i="12" s="1"/>
  <c r="G14" i="12" s="1"/>
  <c r="G119" i="21"/>
  <c r="F119" i="21"/>
  <c r="D119" i="21"/>
  <c r="E119" i="21"/>
  <c r="F28" i="21"/>
  <c r="F30" i="21" s="1"/>
  <c r="F12" i="21" s="1"/>
  <c r="H21" i="12" s="1"/>
  <c r="D28" i="21"/>
  <c r="D30" i="21" s="1"/>
  <c r="D12" i="21" s="1"/>
  <c r="F21" i="12" s="1"/>
  <c r="D24" i="21"/>
  <c r="D26" i="21" s="1"/>
  <c r="D11" i="21" s="1"/>
  <c r="F20" i="12" s="1"/>
  <c r="F22" i="21"/>
  <c r="E24" i="21"/>
  <c r="E26" i="21" s="1"/>
  <c r="E11" i="21" s="1"/>
  <c r="G20" i="12" s="1"/>
  <c r="E22" i="21"/>
  <c r="E10" i="21" s="1"/>
  <c r="F38" i="20"/>
  <c r="F6" i="20" s="1"/>
  <c r="C20" i="21"/>
  <c r="C5" i="20"/>
  <c r="E14" i="21" l="1"/>
  <c r="G23" i="12" s="1"/>
  <c r="D14" i="21"/>
  <c r="F23" i="12" s="1"/>
  <c r="F25" i="12" s="1"/>
  <c r="F14" i="21"/>
  <c r="H23" i="12" s="1"/>
  <c r="G14" i="21"/>
  <c r="I23" i="12" s="1"/>
  <c r="D10" i="20"/>
  <c r="D32" i="25" s="1"/>
  <c r="G18" i="12"/>
  <c r="G28" i="21"/>
  <c r="G30" i="21" s="1"/>
  <c r="G12" i="21" s="1"/>
  <c r="I21" i="12" s="1"/>
  <c r="G22" i="21"/>
  <c r="G10" i="21" s="1"/>
  <c r="E8" i="23"/>
  <c r="E14" i="23" s="1"/>
  <c r="D8" i="23"/>
  <c r="D14" i="23" s="1"/>
  <c r="E10" i="20"/>
  <c r="E32" i="25" s="1"/>
  <c r="G10" i="20"/>
  <c r="G32" i="25" s="1"/>
  <c r="I14" i="12"/>
  <c r="C10" i="20"/>
  <c r="C32" i="25" s="1"/>
  <c r="E9" i="12"/>
  <c r="E14" i="12" s="1"/>
  <c r="F10" i="20"/>
  <c r="F32" i="25" s="1"/>
  <c r="H10" i="12"/>
  <c r="H14" i="12" s="1"/>
  <c r="F10" i="21"/>
  <c r="C24" i="21"/>
  <c r="C26" i="21" s="1"/>
  <c r="C11" i="21" s="1"/>
  <c r="E20" i="12" s="1"/>
  <c r="C22" i="21"/>
  <c r="C10" i="21" s="1"/>
  <c r="C28" i="21"/>
  <c r="C30" i="21" s="1"/>
  <c r="C12" i="21" s="1"/>
  <c r="E21" i="12" s="1"/>
  <c r="E16" i="21" l="1"/>
  <c r="E34" i="25" s="1"/>
  <c r="E36" i="25" s="1"/>
  <c r="D16" i="21"/>
  <c r="D34" i="25" s="1"/>
  <c r="D36" i="25" s="1"/>
  <c r="G25" i="12"/>
  <c r="G35" i="12" s="1"/>
  <c r="G37" i="12" s="1"/>
  <c r="E73" i="25" s="1"/>
  <c r="C16" i="21"/>
  <c r="C34" i="25" s="1"/>
  <c r="E18" i="12"/>
  <c r="E25" i="12" s="1"/>
  <c r="H18" i="12"/>
  <c r="H25" i="12" s="1"/>
  <c r="F16" i="21"/>
  <c r="F34" i="25" s="1"/>
  <c r="I18" i="12"/>
  <c r="I25" i="12" s="1"/>
  <c r="G16" i="21"/>
  <c r="G34" i="25" s="1"/>
  <c r="G8" i="23"/>
  <c r="G14" i="23" s="1"/>
  <c r="F8" i="23"/>
  <c r="F14" i="23" s="1"/>
  <c r="F35" i="12"/>
  <c r="F37" i="12" s="1"/>
  <c r="C8" i="23"/>
  <c r="C14" i="23" s="1"/>
  <c r="D51" i="25" l="1"/>
  <c r="D73" i="25"/>
  <c r="E23" i="23"/>
  <c r="D23" i="23"/>
  <c r="G50" i="12"/>
  <c r="G36" i="5" s="1"/>
  <c r="E51" i="25"/>
  <c r="E104" i="25"/>
  <c r="F50" i="12"/>
  <c r="F36" i="5" s="1"/>
  <c r="D104" i="25"/>
  <c r="C23" i="23"/>
  <c r="F23" i="23"/>
  <c r="G23" i="23"/>
  <c r="I35" i="12"/>
  <c r="I37" i="12" s="1"/>
  <c r="G73" i="25" s="1"/>
  <c r="G36" i="25"/>
  <c r="E35" i="12"/>
  <c r="E37" i="12" s="1"/>
  <c r="C36" i="25"/>
  <c r="O33" i="18"/>
  <c r="L40" i="18"/>
  <c r="L39" i="18"/>
  <c r="L36" i="18"/>
  <c r="D43" i="18"/>
  <c r="D44" i="18" s="1"/>
  <c r="E42" i="18" s="1"/>
  <c r="E43" i="18" s="1"/>
  <c r="D38" i="18"/>
  <c r="D39" i="18"/>
  <c r="E37" i="18" s="1"/>
  <c r="E38" i="18" s="1"/>
  <c r="D33" i="18"/>
  <c r="D34" i="18" s="1"/>
  <c r="E32" i="18" s="1"/>
  <c r="E33" i="18" s="1"/>
  <c r="D28" i="18"/>
  <c r="D29" i="18" s="1"/>
  <c r="E27" i="18" s="1"/>
  <c r="E28" i="18" s="1"/>
  <c r="D24" i="18"/>
  <c r="D25" i="18" s="1"/>
  <c r="E23" i="18" s="1"/>
  <c r="D46" i="18" l="1"/>
  <c r="D47" i="18"/>
  <c r="C73" i="25"/>
  <c r="C51" i="25"/>
  <c r="I50" i="12"/>
  <c r="I36" i="5" s="1"/>
  <c r="G104" i="25"/>
  <c r="G51" i="25"/>
  <c r="E50" i="12"/>
  <c r="E36" i="5" s="1"/>
  <c r="C104" i="25"/>
  <c r="H35" i="12"/>
  <c r="H37" i="12" s="1"/>
  <c r="F73" i="25" s="1"/>
  <c r="F36" i="25"/>
  <c r="E24" i="18"/>
  <c r="E46" i="18" s="1"/>
  <c r="E44" i="18"/>
  <c r="F42" i="18" s="1"/>
  <c r="F43" i="18" s="1"/>
  <c r="E39" i="18"/>
  <c r="F37" i="18" s="1"/>
  <c r="F38" i="18" s="1"/>
  <c r="E34" i="18"/>
  <c r="F32" i="18" s="1"/>
  <c r="F33" i="18" s="1"/>
  <c r="E29" i="18"/>
  <c r="F27" i="18" s="1"/>
  <c r="F28" i="18" s="1"/>
  <c r="E25" i="18" l="1"/>
  <c r="E38" i="5"/>
  <c r="E40" i="5"/>
  <c r="F104" i="25"/>
  <c r="F51" i="25"/>
  <c r="H50" i="12"/>
  <c r="H36" i="5" s="1"/>
  <c r="F44" i="18"/>
  <c r="G42" i="18" s="1"/>
  <c r="G43" i="18" s="1"/>
  <c r="F39" i="18"/>
  <c r="G37" i="18" s="1"/>
  <c r="G38" i="18" s="1"/>
  <c r="F34" i="18"/>
  <c r="G32" i="18" s="1"/>
  <c r="G33" i="18" s="1"/>
  <c r="F29" i="18"/>
  <c r="G27" i="18" s="1"/>
  <c r="G28" i="18" s="1"/>
  <c r="F23" i="18" l="1"/>
  <c r="F24" i="18" s="1"/>
  <c r="E47" i="18"/>
  <c r="E42" i="5"/>
  <c r="F35" i="5"/>
  <c r="G44" i="18"/>
  <c r="H42" i="18" s="1"/>
  <c r="H43" i="18" s="1"/>
  <c r="G39" i="18"/>
  <c r="H37" i="18" s="1"/>
  <c r="H38" i="18" s="1"/>
  <c r="G34" i="18"/>
  <c r="H32" i="18" s="1"/>
  <c r="H33" i="18" s="1"/>
  <c r="G29" i="18"/>
  <c r="H27" i="18" s="1"/>
  <c r="H28" i="18" s="1"/>
  <c r="G15" i="18"/>
  <c r="F25" i="18" l="1"/>
  <c r="F46" i="18"/>
  <c r="F38" i="5"/>
  <c r="G35" i="5" s="1"/>
  <c r="F40" i="5"/>
  <c r="F42" i="5" s="1"/>
  <c r="H44" i="18"/>
  <c r="H39" i="18"/>
  <c r="H34" i="18"/>
  <c r="H29" i="18"/>
  <c r="F28" i="7"/>
  <c r="F29" i="7" s="1"/>
  <c r="G28" i="7"/>
  <c r="G29" i="7" s="1"/>
  <c r="H28" i="7"/>
  <c r="H29" i="7" s="1"/>
  <c r="I26" i="7" s="1"/>
  <c r="I28" i="7" s="1"/>
  <c r="H32" i="7"/>
  <c r="F33" i="7"/>
  <c r="F34" i="7" s="1"/>
  <c r="G33" i="7"/>
  <c r="G34" i="7" s="1"/>
  <c r="H31" i="7" s="1"/>
  <c r="F38" i="7"/>
  <c r="F39" i="7" s="1"/>
  <c r="G38" i="7"/>
  <c r="G39" i="7" s="1"/>
  <c r="H36" i="7" s="1"/>
  <c r="H42" i="7"/>
  <c r="F43" i="7"/>
  <c r="F44" i="7" s="1"/>
  <c r="G43" i="7"/>
  <c r="G44" i="7" s="1"/>
  <c r="H41" i="7" s="1"/>
  <c r="F48" i="7"/>
  <c r="F49" i="7" s="1"/>
  <c r="G48" i="7"/>
  <c r="G49" i="7" s="1"/>
  <c r="H46" i="7" s="1"/>
  <c r="H48" i="7" s="1"/>
  <c r="F54" i="7"/>
  <c r="F55" i="7" s="1"/>
  <c r="G54" i="7"/>
  <c r="G55" i="7" s="1"/>
  <c r="H52" i="7" s="1"/>
  <c r="H54" i="7"/>
  <c r="E12" i="18"/>
  <c r="E11" i="18"/>
  <c r="J11" i="18"/>
  <c r="E10" i="18"/>
  <c r="E9" i="18"/>
  <c r="E8" i="18"/>
  <c r="E15" i="18" s="1"/>
  <c r="G23" i="18" l="1"/>
  <c r="F47" i="18"/>
  <c r="G38" i="5"/>
  <c r="H35" i="5" s="1"/>
  <c r="G40" i="5"/>
  <c r="G42" i="5" s="1"/>
  <c r="H55" i="7"/>
  <c r="I52" i="7" s="1"/>
  <c r="I54" i="7" s="1"/>
  <c r="I55" i="7" s="1"/>
  <c r="J52" i="7" s="1"/>
  <c r="H49" i="7"/>
  <c r="I46" i="7" s="1"/>
  <c r="I48" i="7" s="1"/>
  <c r="I49" i="7" s="1"/>
  <c r="J46" i="7" s="1"/>
  <c r="H33" i="7"/>
  <c r="H34" i="7" s="1"/>
  <c r="I31" i="7" s="1"/>
  <c r="H43" i="7"/>
  <c r="H44" i="7" s="1"/>
  <c r="I41" i="7" s="1"/>
  <c r="H38" i="7"/>
  <c r="H39" i="7" s="1"/>
  <c r="I36" i="7" s="1"/>
  <c r="I29" i="7"/>
  <c r="J26" i="7" s="1"/>
  <c r="H13" i="6"/>
  <c r="H14" i="6"/>
  <c r="G24" i="18" l="1"/>
  <c r="G46" i="18" s="1"/>
  <c r="H38" i="5"/>
  <c r="I35" i="5" s="1"/>
  <c r="H40" i="5"/>
  <c r="H42" i="5" s="1"/>
  <c r="J48" i="7"/>
  <c r="J49" i="7" s="1"/>
  <c r="K46" i="7" s="1"/>
  <c r="J54" i="7"/>
  <c r="J55" i="7" s="1"/>
  <c r="K52" i="7" s="1"/>
  <c r="I33" i="7"/>
  <c r="I34" i="7" s="1"/>
  <c r="J31" i="7" s="1"/>
  <c r="I38" i="7"/>
  <c r="I39" i="7" s="1"/>
  <c r="J36" i="7" s="1"/>
  <c r="J28" i="7"/>
  <c r="J29" i="7" s="1"/>
  <c r="K26" i="7" s="1"/>
  <c r="I43" i="7"/>
  <c r="I44" i="7" s="1"/>
  <c r="J41" i="7" s="1"/>
  <c r="G25" i="18" l="1"/>
  <c r="I38" i="5"/>
  <c r="I40" i="5"/>
  <c r="K28" i="7"/>
  <c r="K29" i="7" s="1"/>
  <c r="L26" i="7" s="1"/>
  <c r="K54" i="7"/>
  <c r="K55" i="7" s="1"/>
  <c r="L52" i="7" s="1"/>
  <c r="J43" i="7"/>
  <c r="J44" i="7" s="1"/>
  <c r="K41" i="7" s="1"/>
  <c r="J38" i="7"/>
  <c r="J39" i="7" s="1"/>
  <c r="K36" i="7" s="1"/>
  <c r="K48" i="7"/>
  <c r="K49" i="7" s="1"/>
  <c r="L46" i="7" s="1"/>
  <c r="J33" i="7"/>
  <c r="J34" i="7" s="1"/>
  <c r="K31" i="7" s="1"/>
  <c r="H23" i="18" l="1"/>
  <c r="H24" i="18" s="1"/>
  <c r="G47" i="18"/>
  <c r="I42" i="5"/>
  <c r="K38" i="7"/>
  <c r="K39" i="7" s="1"/>
  <c r="L36" i="7" s="1"/>
  <c r="L54" i="7"/>
  <c r="L55" i="7" s="1"/>
  <c r="L48" i="7"/>
  <c r="L49" i="7" s="1"/>
  <c r="K43" i="7"/>
  <c r="K44" i="7" s="1"/>
  <c r="L41" i="7" s="1"/>
  <c r="L28" i="7"/>
  <c r="L29" i="7" s="1"/>
  <c r="K33" i="7"/>
  <c r="K34" i="7" s="1"/>
  <c r="L31" i="7" s="1"/>
  <c r="H25" i="18" l="1"/>
  <c r="H47" i="18" s="1"/>
  <c r="H46" i="18"/>
  <c r="L33" i="7"/>
  <c r="L34" i="7" s="1"/>
  <c r="L38" i="7"/>
  <c r="L39" i="7" s="1"/>
  <c r="L43" i="7"/>
  <c r="L44" i="7" s="1"/>
  <c r="E93" i="12" l="1"/>
  <c r="E89" i="12" l="1"/>
  <c r="F93" i="12" l="1"/>
  <c r="F89" i="12" l="1"/>
  <c r="G93" i="12" l="1"/>
  <c r="G89" i="12" l="1"/>
  <c r="H93" i="12" l="1"/>
  <c r="H89" i="12" l="1"/>
  <c r="I93" i="12" l="1"/>
  <c r="I89" i="12" l="1"/>
  <c r="H21" i="6" l="1"/>
  <c r="I81" i="12"/>
  <c r="H81" i="12"/>
  <c r="G81" i="12"/>
  <c r="F81" i="12"/>
  <c r="E81" i="12"/>
  <c r="I14" i="6" l="1"/>
  <c r="J14" i="6" l="1"/>
  <c r="L14" i="6" l="1"/>
  <c r="K14" i="6"/>
  <c r="I13" i="6" l="1"/>
  <c r="J13" i="6"/>
  <c r="G13" i="6" l="1"/>
  <c r="K13" i="6" l="1"/>
  <c r="L13" i="6" l="1"/>
  <c r="G17" i="6"/>
  <c r="G18" i="6" s="1"/>
  <c r="G5" i="7" l="1"/>
  <c r="F8" i="7"/>
  <c r="F9" i="7" s="1"/>
  <c r="G8" i="7"/>
  <c r="G59" i="7" s="1"/>
  <c r="F66" i="12"/>
  <c r="F67" i="12" s="1"/>
  <c r="I21" i="6"/>
  <c r="E48" i="12"/>
  <c r="E61" i="12"/>
  <c r="F61" i="12"/>
  <c r="E68" i="12"/>
  <c r="F68" i="12"/>
  <c r="E71" i="12"/>
  <c r="F71" i="12"/>
  <c r="E95" i="12"/>
  <c r="E97" i="12" s="1"/>
  <c r="E98" i="12" s="1"/>
  <c r="F95" i="12"/>
  <c r="F97" i="12" s="1"/>
  <c r="F98" i="12" s="1"/>
  <c r="E102" i="12"/>
  <c r="F102" i="12"/>
  <c r="G21" i="6"/>
  <c r="D18" i="14"/>
  <c r="G9" i="7" l="1"/>
  <c r="G57" i="7" s="1"/>
  <c r="F57" i="7"/>
  <c r="F59" i="7"/>
  <c r="F69" i="12"/>
  <c r="E66" i="12"/>
  <c r="E67" i="12" s="1"/>
  <c r="E69" i="12" s="1"/>
  <c r="F48" i="12"/>
  <c r="H16" i="6"/>
  <c r="H18" i="6" s="1"/>
  <c r="I16" i="6" l="1"/>
  <c r="J16" i="6" s="1"/>
  <c r="K16" i="6" s="1"/>
  <c r="L16" i="6" s="1"/>
  <c r="E38" i="12"/>
  <c r="F38" i="12"/>
  <c r="C33" i="12" l="1"/>
  <c r="C24" i="10" l="1"/>
  <c r="D95" i="12" l="1"/>
  <c r="G95" i="12"/>
  <c r="G97" i="12" s="1"/>
  <c r="G98" i="12" s="1"/>
  <c r="H95" i="12"/>
  <c r="H97" i="12" s="1"/>
  <c r="H98" i="12" s="1"/>
  <c r="I95" i="12"/>
  <c r="I97" i="12" s="1"/>
  <c r="I98" i="12" s="1"/>
  <c r="D102" i="12"/>
  <c r="G102" i="12"/>
  <c r="H102" i="12"/>
  <c r="C10" i="16" l="1"/>
  <c r="D10" i="16" s="1"/>
  <c r="G6" i="16"/>
  <c r="F6" i="16"/>
  <c r="E6" i="16"/>
  <c r="D6" i="16"/>
  <c r="C6" i="16"/>
  <c r="C11" i="16" s="1"/>
  <c r="D11" i="16" s="1"/>
  <c r="E11" i="16" s="1"/>
  <c r="F11" i="16" s="1"/>
  <c r="D5" i="16"/>
  <c r="E5" i="16" s="1"/>
  <c r="E8" i="16" s="1"/>
  <c r="B10" i="16"/>
  <c r="B6" i="16"/>
  <c r="B12" i="16" s="1"/>
  <c r="B8" i="16" l="1"/>
  <c r="D8" i="16"/>
  <c r="B11" i="16"/>
  <c r="E10" i="16"/>
  <c r="F10" i="16" s="1"/>
  <c r="G10" i="16" s="1"/>
  <c r="B13" i="16"/>
  <c r="B15" i="16" s="1"/>
  <c r="C12" i="16"/>
  <c r="D12" i="16" s="1"/>
  <c r="E12" i="16" s="1"/>
  <c r="F12" i="16" s="1"/>
  <c r="G12" i="16" s="1"/>
  <c r="F5" i="16"/>
  <c r="C8" i="16"/>
  <c r="G11" i="16"/>
  <c r="G13" i="16" s="1"/>
  <c r="C25" i="10"/>
  <c r="B24" i="10"/>
  <c r="A57" i="12"/>
  <c r="A56" i="12"/>
  <c r="H57" i="12"/>
  <c r="H56" i="12"/>
  <c r="H53" i="12"/>
  <c r="H52" i="12"/>
  <c r="C13" i="16" l="1"/>
  <c r="C15" i="16" s="1"/>
  <c r="F13" i="16"/>
  <c r="G5" i="16"/>
  <c r="G8" i="16" s="1"/>
  <c r="G15" i="16" s="1"/>
  <c r="F8" i="16"/>
  <c r="F15" i="16" s="1"/>
  <c r="E13" i="16"/>
  <c r="E15" i="16" s="1"/>
  <c r="D13" i="16"/>
  <c r="D15" i="16" s="1"/>
  <c r="J21" i="6"/>
  <c r="K21" i="6" l="1"/>
  <c r="G32" i="14"/>
  <c r="G34" i="14" s="1"/>
  <c r="G35" i="14" s="1"/>
  <c r="G36" i="14" s="1"/>
  <c r="L21" i="6" l="1"/>
  <c r="L5" i="7"/>
  <c r="K5" i="7"/>
  <c r="J5" i="7"/>
  <c r="I5" i="7"/>
  <c r="H5" i="7"/>
  <c r="D31" i="14"/>
  <c r="D33" i="14" s="1"/>
  <c r="D28" i="14"/>
  <c r="C117" i="12" l="1"/>
  <c r="E86" i="12" l="1"/>
  <c r="D87" i="12"/>
  <c r="I17" i="6" l="1"/>
  <c r="I18" i="6" s="1"/>
  <c r="J17" i="6" l="1"/>
  <c r="J18" i="6" s="1"/>
  <c r="D48" i="12"/>
  <c r="D14" i="12"/>
  <c r="K17" i="6" l="1"/>
  <c r="K18" i="6" s="1"/>
  <c r="H8" i="7"/>
  <c r="H59" i="7" s="1"/>
  <c r="C53" i="25" l="1"/>
  <c r="C40" i="21"/>
  <c r="E42" i="12"/>
  <c r="D89" i="25" s="1"/>
  <c r="E13" i="5"/>
  <c r="L17" i="6"/>
  <c r="L18" i="6" s="1"/>
  <c r="D33" i="12"/>
  <c r="D37" i="12" s="1"/>
  <c r="D38" i="12" s="1"/>
  <c r="G25" i="6"/>
  <c r="A1" i="6"/>
  <c r="A3" i="6"/>
  <c r="A4" i="6"/>
  <c r="B22" i="10"/>
  <c r="E18" i="6"/>
  <c r="E25" i="6"/>
  <c r="B18" i="6"/>
  <c r="C18" i="6"/>
  <c r="B25" i="6"/>
  <c r="C25" i="6"/>
  <c r="G61" i="12"/>
  <c r="G68" i="12"/>
  <c r="G71" i="12"/>
  <c r="A75" i="12"/>
  <c r="C116" i="12"/>
  <c r="C105" i="25" l="1"/>
  <c r="C108" i="25" s="1"/>
  <c r="D11" i="25"/>
  <c r="D42" i="12"/>
  <c r="B1" i="14"/>
  <c r="C17" i="10"/>
  <c r="B4" i="14"/>
  <c r="C15" i="10"/>
  <c r="A2" i="6" s="1"/>
  <c r="B2" i="14"/>
  <c r="C16" i="10"/>
  <c r="B3" i="14"/>
  <c r="G27" i="6"/>
  <c r="C27" i="6"/>
  <c r="B27" i="6"/>
  <c r="E27" i="6"/>
  <c r="H25" i="6"/>
  <c r="C119" i="12"/>
  <c r="C121" i="12" s="1"/>
  <c r="C14" i="12"/>
  <c r="C37" i="12" s="1"/>
  <c r="A13" i="10"/>
  <c r="D88" i="12" l="1"/>
  <c r="C123" i="12"/>
  <c r="H29" i="6"/>
  <c r="H48" i="12"/>
  <c r="G30" i="6" l="1"/>
  <c r="I48" i="12"/>
  <c r="C44" i="12"/>
  <c r="C38" i="12"/>
  <c r="H9" i="7"/>
  <c r="H57" i="7" s="1"/>
  <c r="I25" i="6"/>
  <c r="G48" i="12"/>
  <c r="E12" i="5" l="1"/>
  <c r="E14" i="5" s="1"/>
  <c r="I6" i="7"/>
  <c r="I8" i="7" s="1"/>
  <c r="I59" i="7" s="1"/>
  <c r="I29" i="6"/>
  <c r="J25" i="6"/>
  <c r="G66" i="12"/>
  <c r="G67" i="12" s="1"/>
  <c r="G69" i="12" s="1"/>
  <c r="C47" i="12"/>
  <c r="D53" i="25" l="1"/>
  <c r="H38" i="12"/>
  <c r="I9" i="7"/>
  <c r="J29" i="6"/>
  <c r="C50" i="12"/>
  <c r="K25" i="6"/>
  <c r="I57" i="7" l="1"/>
  <c r="F12" i="5" s="1"/>
  <c r="D40" i="21"/>
  <c r="F13" i="5"/>
  <c r="G38" i="12"/>
  <c r="J6" i="7"/>
  <c r="J8" i="7" s="1"/>
  <c r="J59" i="7" s="1"/>
  <c r="K29" i="6"/>
  <c r="I38" i="12"/>
  <c r="L25" i="6"/>
  <c r="F14" i="5" l="1"/>
  <c r="F19" i="5" s="1"/>
  <c r="F45" i="5" s="1"/>
  <c r="E53" i="25"/>
  <c r="J9" i="7"/>
  <c r="J57" i="7" s="1"/>
  <c r="L29" i="6"/>
  <c r="G13" i="5" l="1"/>
  <c r="E40" i="21"/>
  <c r="K6" i="7"/>
  <c r="K8" i="7" s="1"/>
  <c r="K59" i="7" s="1"/>
  <c r="G12" i="5"/>
  <c r="G14" i="5" s="1"/>
  <c r="G19" i="5" s="1"/>
  <c r="G45" i="5" s="1"/>
  <c r="F53" i="25" l="1"/>
  <c r="K9" i="7"/>
  <c r="K57" i="7" l="1"/>
  <c r="H12" i="5" s="1"/>
  <c r="H13" i="5"/>
  <c r="F40" i="21"/>
  <c r="L6" i="7"/>
  <c r="L8" i="7" s="1"/>
  <c r="L59" i="7" s="1"/>
  <c r="B19" i="17"/>
  <c r="H14" i="5" l="1"/>
  <c r="H19" i="5" s="1"/>
  <c r="H45" i="5" s="1"/>
  <c r="G40" i="21"/>
  <c r="G53" i="25"/>
  <c r="L9" i="7"/>
  <c r="I13" i="5"/>
  <c r="L57" i="7" l="1"/>
  <c r="I12" i="5" s="1"/>
  <c r="I14" i="5" s="1"/>
  <c r="I19" i="5" s="1"/>
  <c r="I45" i="5" s="1"/>
  <c r="D96" i="12"/>
  <c r="D97" i="12" s="1"/>
  <c r="D98" i="12" s="1"/>
  <c r="E87" i="12"/>
  <c r="H27" i="6" l="1"/>
  <c r="I19" i="6"/>
  <c r="I30" i="6" s="1"/>
  <c r="H19" i="6"/>
  <c r="H30" i="6" s="1"/>
  <c r="I27" i="6"/>
  <c r="D93" i="12" l="1"/>
  <c r="D107" i="12" s="1"/>
  <c r="J19" i="6"/>
  <c r="J30" i="6" s="1"/>
  <c r="J27" i="6"/>
  <c r="D89" i="12" l="1"/>
  <c r="K19" i="6"/>
  <c r="K30" i="6" s="1"/>
  <c r="L19" i="6"/>
  <c r="L30" i="6" s="1"/>
  <c r="K27" i="6"/>
  <c r="L27" i="6"/>
  <c r="D106" i="12" l="1"/>
  <c r="D91" i="12"/>
  <c r="D44" i="12"/>
  <c r="D116" i="12" s="1"/>
  <c r="D119" i="12" s="1"/>
  <c r="D121" i="12" s="1"/>
  <c r="D123" i="12" s="1"/>
  <c r="D47" i="12" s="1"/>
  <c r="E88" i="12" l="1"/>
  <c r="D125" i="12"/>
  <c r="D110" i="12"/>
  <c r="D50" i="12"/>
  <c r="E107" i="12" l="1"/>
  <c r="E91" i="12" l="1"/>
  <c r="E106" i="12"/>
  <c r="F86" i="12" l="1"/>
  <c r="F88" i="12" s="1"/>
  <c r="E60" i="12" l="1"/>
  <c r="E63" i="12" s="1"/>
  <c r="F107" i="12" l="1"/>
  <c r="F106" i="12" l="1"/>
  <c r="F91" i="12"/>
  <c r="G86" i="12" l="1"/>
  <c r="G88" i="12" s="1"/>
  <c r="F60" i="12" l="1"/>
  <c r="F63" i="12" s="1"/>
  <c r="G107" i="12" l="1"/>
  <c r="G106" i="12" l="1"/>
  <c r="G91" i="12"/>
  <c r="H86" i="12" l="1"/>
  <c r="H88" i="12" s="1"/>
  <c r="G60" i="12" l="1"/>
  <c r="G63" i="12" s="1"/>
  <c r="H107" i="12" l="1"/>
  <c r="H106" i="12" l="1"/>
  <c r="H91" i="12"/>
  <c r="I86" i="12" l="1"/>
  <c r="I88" i="12" s="1"/>
  <c r="I107" i="12" l="1"/>
  <c r="I106" i="12" l="1"/>
  <c r="I91" i="12"/>
  <c r="E10" i="5"/>
  <c r="E19" i="5" s="1"/>
  <c r="C41" i="21"/>
  <c r="C38" i="25" s="1"/>
  <c r="E45" i="5" l="1"/>
  <c r="E10" i="22"/>
  <c r="E12" i="22" s="1"/>
  <c r="E15" i="22" s="1"/>
  <c r="E21" i="22" s="1"/>
  <c r="C24" i="23"/>
  <c r="C27" i="23" s="1"/>
  <c r="C28" i="23" s="1"/>
  <c r="C30" i="23" s="1"/>
  <c r="D29" i="23" s="1"/>
  <c r="C40" i="25"/>
  <c r="E44" i="12"/>
  <c r="E116" i="12" l="1"/>
  <c r="E119" i="12" s="1"/>
  <c r="E47" i="12"/>
  <c r="E125" i="12"/>
  <c r="E110" i="12"/>
  <c r="D111" i="12" s="1"/>
  <c r="D9" i="25" l="1"/>
  <c r="D14" i="25" s="1"/>
  <c r="D15" i="25" s="1"/>
  <c r="D88" i="25"/>
  <c r="C56" i="25"/>
  <c r="C60" i="25" s="1"/>
  <c r="E121" i="12"/>
  <c r="E123" i="12" s="1"/>
  <c r="I42" i="12"/>
  <c r="G41" i="21"/>
  <c r="G38" i="25" s="1"/>
  <c r="H42" i="12"/>
  <c r="F41" i="21"/>
  <c r="F38" i="25" s="1"/>
  <c r="G42" i="12"/>
  <c r="E41" i="21"/>
  <c r="E38" i="25" s="1"/>
  <c r="D91" i="25" l="1"/>
  <c r="D92" i="25" s="1"/>
  <c r="E105" i="25"/>
  <c r="E108" i="25" s="1"/>
  <c r="E112" i="25" s="1"/>
  <c r="F89" i="25"/>
  <c r="G105" i="25"/>
  <c r="G108" i="25" s="1"/>
  <c r="H89" i="25"/>
  <c r="F105" i="25"/>
  <c r="F108" i="25" s="1"/>
  <c r="F112" i="25" s="1"/>
  <c r="G89" i="25"/>
  <c r="H11" i="25"/>
  <c r="F11" i="25"/>
  <c r="G11" i="25"/>
  <c r="E24" i="23"/>
  <c r="E27" i="23" s="1"/>
  <c r="E28" i="23" s="1"/>
  <c r="E40" i="25"/>
  <c r="G24" i="23"/>
  <c r="G27" i="23" s="1"/>
  <c r="G28" i="23" s="1"/>
  <c r="G40" i="25"/>
  <c r="F24" i="23"/>
  <c r="F27" i="23" s="1"/>
  <c r="F28" i="23" s="1"/>
  <c r="F40" i="25"/>
  <c r="I44" i="12"/>
  <c r="G44" i="12"/>
  <c r="G110" i="12" s="1"/>
  <c r="H44" i="12"/>
  <c r="C114" i="25" l="1"/>
  <c r="C88" i="24" s="1"/>
  <c r="I125" i="12"/>
  <c r="G47" i="12"/>
  <c r="G116" i="12"/>
  <c r="G119" i="12" s="1"/>
  <c r="G121" i="12" s="1"/>
  <c r="G123" i="12" s="1"/>
  <c r="G125" i="12"/>
  <c r="I116" i="12"/>
  <c r="I119" i="12" s="1"/>
  <c r="I110" i="12"/>
  <c r="I47" i="12"/>
  <c r="H110" i="12"/>
  <c r="H125" i="12"/>
  <c r="H47" i="12"/>
  <c r="H116" i="12"/>
  <c r="H119" i="12" s="1"/>
  <c r="H9" i="25" l="1"/>
  <c r="H14" i="25" s="1"/>
  <c r="H15" i="25" s="1"/>
  <c r="D18" i="25" s="1"/>
  <c r="E18" i="25" s="1"/>
  <c r="H88" i="25"/>
  <c r="H91" i="25" s="1"/>
  <c r="G56" i="25"/>
  <c r="G60" i="25" s="1"/>
  <c r="G9" i="25"/>
  <c r="G14" i="25" s="1"/>
  <c r="G15" i="25" s="1"/>
  <c r="F56" i="25"/>
  <c r="F60" i="25" s="1"/>
  <c r="G88" i="25"/>
  <c r="G91" i="25" s="1"/>
  <c r="F9" i="25"/>
  <c r="F14" i="25" s="1"/>
  <c r="F15" i="25" s="1"/>
  <c r="F88" i="25"/>
  <c r="F91" i="25" s="1"/>
  <c r="E56" i="25"/>
  <c r="E60" i="25" s="1"/>
  <c r="I121" i="12"/>
  <c r="I123" i="12" s="1"/>
  <c r="H121" i="12"/>
  <c r="H123" i="12" s="1"/>
  <c r="D19" i="25" l="1"/>
  <c r="F18" i="25"/>
  <c r="G18" i="25" l="1"/>
  <c r="F19" i="25"/>
  <c r="H18" i="25" l="1"/>
  <c r="H19" i="25" s="1"/>
  <c r="G19" i="25"/>
  <c r="D41" i="21"/>
  <c r="D38" i="25" s="1"/>
  <c r="F42" i="12"/>
  <c r="D105" i="25" l="1"/>
  <c r="D108" i="25" s="1"/>
  <c r="E89" i="25"/>
  <c r="D40" i="25"/>
  <c r="C42" i="25" s="1"/>
  <c r="C83" i="24" s="1"/>
  <c r="D24" i="23"/>
  <c r="D27" i="23" s="1"/>
  <c r="D28" i="23" s="1"/>
  <c r="D30" i="23" s="1"/>
  <c r="E29" i="23" s="1"/>
  <c r="E30" i="23" s="1"/>
  <c r="F29" i="23" s="1"/>
  <c r="F30" i="23" s="1"/>
  <c r="G29" i="23" s="1"/>
  <c r="G30" i="23" s="1"/>
  <c r="E11" i="25"/>
  <c r="F44" i="12"/>
  <c r="F125" i="12" l="1"/>
  <c r="F110" i="12"/>
  <c r="F47" i="12"/>
  <c r="F116" i="12"/>
  <c r="F119" i="12" s="1"/>
  <c r="E9" i="25" l="1"/>
  <c r="E14" i="25" s="1"/>
  <c r="E19" i="25" s="1"/>
  <c r="E88" i="25"/>
  <c r="D56" i="25"/>
  <c r="D60" i="25" s="1"/>
  <c r="C62" i="25" s="1"/>
  <c r="C66" i="25" s="1"/>
  <c r="C86" i="24" s="1"/>
  <c r="C75" i="25"/>
  <c r="C78" i="25" s="1"/>
  <c r="C84" i="24" s="1"/>
  <c r="F121" i="12"/>
  <c r="F123" i="12" s="1"/>
  <c r="E91" i="25" l="1"/>
  <c r="E92" i="25" s="1"/>
  <c r="F92" i="25" s="1"/>
  <c r="G92" i="25" s="1"/>
  <c r="E15" i="25"/>
  <c r="D94" i="25" l="1"/>
  <c r="C87" i="24" s="1"/>
  <c r="H92" i="25"/>
</calcChain>
</file>

<file path=xl/sharedStrings.xml><?xml version="1.0" encoding="utf-8"?>
<sst xmlns="http://schemas.openxmlformats.org/spreadsheetml/2006/main" count="843" uniqueCount="577">
  <si>
    <t>Particulars</t>
  </si>
  <si>
    <t>Total</t>
  </si>
  <si>
    <t>Amount</t>
  </si>
  <si>
    <t>Projected</t>
  </si>
  <si>
    <t>As at</t>
  </si>
  <si>
    <t>I ] Current Assets</t>
  </si>
  <si>
    <t>Total Current Assets (I)</t>
  </si>
  <si>
    <t>Depreciation Schedule</t>
  </si>
  <si>
    <t>Op. Bal</t>
  </si>
  <si>
    <t>Add</t>
  </si>
  <si>
    <t>Depn</t>
  </si>
  <si>
    <t>Cl. Bal</t>
  </si>
  <si>
    <t>Tentative</t>
  </si>
  <si>
    <t>Actual</t>
  </si>
  <si>
    <t>PROJECT  REPORT</t>
  </si>
  <si>
    <t>INDEX</t>
  </si>
  <si>
    <t>Cost Of Project</t>
  </si>
  <si>
    <t>Profitability Statement</t>
  </si>
  <si>
    <t>Projected Balance Sheet</t>
  </si>
  <si>
    <t>A</t>
  </si>
  <si>
    <t>B</t>
  </si>
  <si>
    <t>Operating profit After Tax</t>
  </si>
  <si>
    <t>Investment (Capital + Profit)</t>
  </si>
  <si>
    <t>R.O.I.</t>
  </si>
  <si>
    <t>Debtors Velocity:</t>
  </si>
  <si>
    <t>Annual Total Sales</t>
  </si>
  <si>
    <t>Sales per day</t>
  </si>
  <si>
    <t>Sundry debtors</t>
  </si>
  <si>
    <t>Average debtors velocity</t>
  </si>
  <si>
    <t>Dep.</t>
  </si>
  <si>
    <t>Total WDV of fixed assets</t>
  </si>
  <si>
    <t>Total Depreciation</t>
  </si>
  <si>
    <t>1. Sundry Debtors</t>
  </si>
  <si>
    <t xml:space="preserve">Financial Year </t>
  </si>
  <si>
    <t>Basis</t>
  </si>
  <si>
    <t>90 days of cost of sales</t>
  </si>
  <si>
    <t xml:space="preserve">Assesment of Working Capital Requirement </t>
  </si>
  <si>
    <t>Total Current Liabilities  (II)</t>
  </si>
  <si>
    <t xml:space="preserve">Address: </t>
  </si>
  <si>
    <t>Provision for tax</t>
  </si>
  <si>
    <t>Add:Edn.Cess</t>
  </si>
  <si>
    <t>Total tax</t>
  </si>
  <si>
    <t>Total tax provision reqd</t>
  </si>
  <si>
    <t>II] Current Liabilities</t>
  </si>
  <si>
    <t xml:space="preserve">           Sub Total</t>
  </si>
  <si>
    <t xml:space="preserve">     - Gross Profit Ratio</t>
  </si>
  <si>
    <t>Net Profit Ratio</t>
  </si>
  <si>
    <t>Term Loan Repayment Schedule</t>
  </si>
  <si>
    <t>Opening Balance</t>
  </si>
  <si>
    <t>Add: Loan taken during the year</t>
  </si>
  <si>
    <t>Sub- Total</t>
  </si>
  <si>
    <t>Closing balance</t>
  </si>
  <si>
    <t>Less: Repayment during the year</t>
  </si>
  <si>
    <t>2. Stock in Trade</t>
  </si>
  <si>
    <t>3. Deposits</t>
  </si>
  <si>
    <t>Sundry Creditors</t>
  </si>
  <si>
    <t>Duties &amp; Taxes</t>
  </si>
  <si>
    <t xml:space="preserve"> </t>
  </si>
  <si>
    <t>2008-09</t>
  </si>
  <si>
    <t>Other Current Liabilities</t>
  </si>
  <si>
    <t>4. Other Current Assets</t>
  </si>
  <si>
    <t>5.Cash And Bank Balance</t>
  </si>
  <si>
    <t>New Term Loan</t>
  </si>
  <si>
    <t>1. Term Loan</t>
  </si>
  <si>
    <t>2018-19</t>
  </si>
  <si>
    <t xml:space="preserve">                            (Figures in Ruppes)</t>
  </si>
  <si>
    <t xml:space="preserve">Total Repayment of loan </t>
  </si>
  <si>
    <t xml:space="preserve">Total Interest </t>
  </si>
  <si>
    <t>Working Capital  (I - II)</t>
  </si>
  <si>
    <t>Increase /decrease in working capital</t>
  </si>
  <si>
    <t>Projected Profitability Statement over the period of 5 years</t>
  </si>
  <si>
    <t>Estimated</t>
  </si>
  <si>
    <t>200000-500000</t>
  </si>
  <si>
    <t>500000-1000000</t>
  </si>
  <si>
    <t>Above 1000000</t>
  </si>
  <si>
    <t>Debt Service Ratio</t>
  </si>
  <si>
    <t>(Net profit+Interest+Dep)/(Interest+Principal Repayment)</t>
  </si>
  <si>
    <t>Working Capital</t>
  </si>
  <si>
    <t>Sr No</t>
  </si>
  <si>
    <t>Asset Description</t>
  </si>
  <si>
    <t>QTY</t>
  </si>
  <si>
    <t>List of Asset Required</t>
  </si>
  <si>
    <t>No of Machine manufacturing</t>
  </si>
  <si>
    <t>Cost per Machine</t>
  </si>
  <si>
    <t xml:space="preserve">Daily Capacity </t>
  </si>
  <si>
    <t>10 machine per day</t>
  </si>
  <si>
    <t>working no of days</t>
  </si>
  <si>
    <t>Total Machines</t>
  </si>
  <si>
    <t>2019-20</t>
  </si>
  <si>
    <t>2020-21</t>
  </si>
  <si>
    <t>2021-22</t>
  </si>
  <si>
    <t>2022-23</t>
  </si>
  <si>
    <t>2023-24</t>
  </si>
  <si>
    <t>Capacity Utilization</t>
  </si>
  <si>
    <t>Feb</t>
  </si>
  <si>
    <t>March</t>
  </si>
  <si>
    <t>no of days</t>
  </si>
  <si>
    <t>sales price per machine</t>
  </si>
  <si>
    <t>raw material cost per machine</t>
  </si>
  <si>
    <t>labour cost per machine</t>
  </si>
  <si>
    <t>Sr. No.</t>
  </si>
  <si>
    <t>Daily Collection per day</t>
  </si>
  <si>
    <t>Working days in Year</t>
  </si>
  <si>
    <t>Total Collection</t>
  </si>
  <si>
    <t>RENT</t>
  </si>
  <si>
    <t>Salary</t>
  </si>
  <si>
    <t xml:space="preserve">Material </t>
  </si>
  <si>
    <t>F Y 2018-19</t>
  </si>
  <si>
    <t>Net Profit</t>
  </si>
  <si>
    <t>Interest @ 10.5%</t>
  </si>
  <si>
    <t>[Figures in Rs]</t>
  </si>
  <si>
    <t>2017-18</t>
  </si>
  <si>
    <t>Actuals</t>
  </si>
  <si>
    <t>2. Working Capital</t>
  </si>
  <si>
    <t>Invertor</t>
  </si>
  <si>
    <t>Average DSCR</t>
  </si>
  <si>
    <t>Land</t>
  </si>
  <si>
    <t>Utensils</t>
  </si>
  <si>
    <t>Water Tank</t>
  </si>
  <si>
    <t xml:space="preserve"> (Figures in Rs)</t>
  </si>
  <si>
    <t>Poultry Shed ( 6000 Sqr. Ft.)</t>
  </si>
  <si>
    <t xml:space="preserve">Store Room </t>
  </si>
  <si>
    <t>Electrical Fittings</t>
  </si>
  <si>
    <t>Water and Pipe Fittings</t>
  </si>
  <si>
    <t>Borewell</t>
  </si>
  <si>
    <t>Chaff Cutter</t>
  </si>
  <si>
    <t>M/s Exent Agro</t>
  </si>
  <si>
    <t>Project Report</t>
  </si>
  <si>
    <t>Project At Glance</t>
  </si>
  <si>
    <t>1. Name of Propritor</t>
  </si>
  <si>
    <t>: Rohit Balasaheb Shingare</t>
  </si>
  <si>
    <t>2. Address</t>
  </si>
  <si>
    <t>: Kaij Road, Dharur, Beed - 431124</t>
  </si>
  <si>
    <t>3. Constitution</t>
  </si>
  <si>
    <t>: Propritor</t>
  </si>
  <si>
    <t>5. Education</t>
  </si>
  <si>
    <t>: M. B. A.</t>
  </si>
  <si>
    <t>6. Experience</t>
  </si>
  <si>
    <t>: Know In Line</t>
  </si>
  <si>
    <t>7. Proposed Activity</t>
  </si>
  <si>
    <t>8. Means of Finance</t>
  </si>
  <si>
    <t>: Own Contribution and Term Loan from Bank under Annasaheb Patil Arthik Mahamandal</t>
  </si>
  <si>
    <t>9. Employment</t>
  </si>
  <si>
    <t>10. Plot Area</t>
  </si>
  <si>
    <t>11. Cost of Project</t>
  </si>
  <si>
    <t>Milking Machine</t>
  </si>
  <si>
    <t>Hydrophonics</t>
  </si>
  <si>
    <t>: 875 sqt</t>
  </si>
  <si>
    <t>: Buffalo Milk Porject</t>
  </si>
  <si>
    <t>:  2 unskiled</t>
  </si>
  <si>
    <t>Year I</t>
  </si>
  <si>
    <t>Year II</t>
  </si>
  <si>
    <t>Year III</t>
  </si>
  <si>
    <t>Year IV</t>
  </si>
  <si>
    <t>Year V</t>
  </si>
  <si>
    <t>Plant &amp; Machinery</t>
  </si>
  <si>
    <t>Mobile</t>
  </si>
  <si>
    <t>Interest @ 11%</t>
  </si>
  <si>
    <t>Sale of Eggs</t>
  </si>
  <si>
    <t>Sale of Retire culls</t>
  </si>
  <si>
    <t>Packing material</t>
  </si>
  <si>
    <t>qty</t>
  </si>
  <si>
    <t>rate</t>
  </si>
  <si>
    <t>total</t>
  </si>
  <si>
    <t>packing stray with box</t>
  </si>
  <si>
    <t>packing box</t>
  </si>
  <si>
    <t>Feed (275 kg per day *365)</t>
  </si>
  <si>
    <t>Insurance</t>
  </si>
  <si>
    <t>Medicine, vaccine, labour and misc. charges</t>
  </si>
  <si>
    <t>Purchases</t>
  </si>
  <si>
    <t>cost of 2500 parents stock</t>
  </si>
  <si>
    <t>Chick Feeder (Mother Unit) (150*160)</t>
  </si>
  <si>
    <t>Chick Drinker (Mother Unit) (130*160)</t>
  </si>
  <si>
    <t>Grinder with Mixer, Conveyer</t>
  </si>
  <si>
    <t>Own Contribution</t>
  </si>
  <si>
    <t>Closing</t>
  </si>
  <si>
    <t>Opening</t>
  </si>
  <si>
    <t>DEP</t>
  </si>
  <si>
    <t>Transportaion cost</t>
  </si>
  <si>
    <t>150 km</t>
  </si>
  <si>
    <t>rs. 15</t>
  </si>
  <si>
    <t>per day</t>
  </si>
  <si>
    <t>Other</t>
  </si>
  <si>
    <t>Packing</t>
  </si>
  <si>
    <t>cooling</t>
  </si>
  <si>
    <t>I</t>
  </si>
  <si>
    <t>II</t>
  </si>
  <si>
    <t>III</t>
  </si>
  <si>
    <t>IV</t>
  </si>
  <si>
    <t>V</t>
  </si>
  <si>
    <t>Contribution</t>
  </si>
  <si>
    <t>(Collected from members which have 250 birds distributed) 100 eggs per day</t>
  </si>
  <si>
    <t>Members</t>
  </si>
  <si>
    <t>Rate</t>
  </si>
  <si>
    <t>Total sale of Eggs per day</t>
  </si>
  <si>
    <t>Rate (Growth rate per year @5%)</t>
  </si>
  <si>
    <t>Sale of eggs</t>
  </si>
  <si>
    <t>Total sale in a year (In Rs.)</t>
  </si>
  <si>
    <t>Male (5000 p.m.)</t>
  </si>
  <si>
    <t xml:space="preserve">Sale of culled Male </t>
  </si>
  <si>
    <t>Female (5000 p.m.)</t>
  </si>
  <si>
    <t xml:space="preserve">Sale of culled Female </t>
  </si>
  <si>
    <t>40% by members</t>
  </si>
  <si>
    <t>60% by company</t>
  </si>
  <si>
    <t>Total Sale of culled</t>
  </si>
  <si>
    <t>Female</t>
  </si>
  <si>
    <t>Total Retire culls male</t>
  </si>
  <si>
    <t>Total Retire culls female</t>
  </si>
  <si>
    <t>Total sale of Retire culls</t>
  </si>
  <si>
    <t>Sale Manure</t>
  </si>
  <si>
    <t>No. of batches</t>
  </si>
  <si>
    <t>Rate Per batch</t>
  </si>
  <si>
    <t>Total Sales</t>
  </si>
  <si>
    <t>Total Sale Value</t>
  </si>
  <si>
    <t>Variable Cost</t>
  </si>
  <si>
    <t>Purchase of eggs from Farmers</t>
  </si>
  <si>
    <t xml:space="preserve">Egg Collection, storage cost </t>
  </si>
  <si>
    <t>Rate per Eggs</t>
  </si>
  <si>
    <t>Total Purchase value of eggs</t>
  </si>
  <si>
    <t>Cost per egg</t>
  </si>
  <si>
    <t>Total cost</t>
  </si>
  <si>
    <t>Total Variable cost</t>
  </si>
  <si>
    <t>Fixed Cost</t>
  </si>
  <si>
    <t>Salaries</t>
  </si>
  <si>
    <t>Rent</t>
  </si>
  <si>
    <t>Electricity bills</t>
  </si>
  <si>
    <t>Depriciation</t>
  </si>
  <si>
    <t>Total Fixed Cost</t>
  </si>
  <si>
    <t>Supervisor</t>
  </si>
  <si>
    <t>Driver</t>
  </si>
  <si>
    <t>Sale of 4 week birds</t>
  </si>
  <si>
    <t>Sale of Gunny bag</t>
  </si>
  <si>
    <t>No. of bags</t>
  </si>
  <si>
    <t>Rate per bag</t>
  </si>
  <si>
    <t>Total sales of bag</t>
  </si>
  <si>
    <t>male</t>
  </si>
  <si>
    <t>Construction of fencing Compound around the backyard atmosphere</t>
  </si>
  <si>
    <t>Fire pit</t>
  </si>
  <si>
    <t xml:space="preserve">Rain water harvesting </t>
  </si>
  <si>
    <t>A/C (38000*2)</t>
  </si>
  <si>
    <t>Hatcher</t>
  </si>
  <si>
    <t>Generator</t>
  </si>
  <si>
    <t>Pressure pump for cleaning and washing (htp)</t>
  </si>
  <si>
    <t>Computer</t>
  </si>
  <si>
    <t>CCTV Cameras</t>
  </si>
  <si>
    <t>Solar (Rs. 350000*2)</t>
  </si>
  <si>
    <t>Pountry pullet Feed making machine</t>
  </si>
  <si>
    <t>Furniture</t>
  </si>
  <si>
    <t>Chick carry box (5000*40)</t>
  </si>
  <si>
    <t>Egg Packing Box (20000*2)</t>
  </si>
  <si>
    <t>Kaveri birds eggs purchased from CPDO (Central poultry development organization) banglore (2500*16)</t>
  </si>
  <si>
    <t>Plant and machinery</t>
  </si>
  <si>
    <t>Preliminary Expenses</t>
  </si>
  <si>
    <t>Project Report and Consultation</t>
  </si>
  <si>
    <t>Hatchery worker</t>
  </si>
  <si>
    <t>Total Salary</t>
  </si>
  <si>
    <t>Accountin, audit and other maintance charges</t>
  </si>
  <si>
    <t>Transportation cost</t>
  </si>
  <si>
    <t>Note:</t>
  </si>
  <si>
    <t>Total Variabl cost</t>
  </si>
  <si>
    <t>B. Total Cost/Expenses</t>
  </si>
  <si>
    <t>C.Profit Before Depreciation, Interest and Tax (A-B) (EBIT)</t>
  </si>
  <si>
    <t>Amortization Schedule</t>
  </si>
  <si>
    <t>Less: Tax</t>
  </si>
  <si>
    <t>Medication and vaccination cost till 22 weeks</t>
  </si>
  <si>
    <t>Medication and vaccination cost in Laying Period</t>
  </si>
  <si>
    <t>Medication and vaccination cost till 4 weeks of chicks</t>
  </si>
  <si>
    <t>Hatchery Vaccination Cost</t>
  </si>
  <si>
    <t>Feeding cost</t>
  </si>
  <si>
    <t>Feeding cost of Parent Birds per Year</t>
  </si>
  <si>
    <t>Feeding Cost till 22 Weeks</t>
  </si>
  <si>
    <t>Male</t>
  </si>
  <si>
    <t>Feed in Kg/Parent</t>
  </si>
  <si>
    <t>Feed Cost</t>
  </si>
  <si>
    <t>Feeding cost of Laying Birds</t>
  </si>
  <si>
    <t>No of Females</t>
  </si>
  <si>
    <t>52 weeks 365 days</t>
  </si>
  <si>
    <t>No of Males</t>
  </si>
  <si>
    <t>Feed Rate Of Laying Feed</t>
  </si>
  <si>
    <t>Feed Cost/Year</t>
  </si>
  <si>
    <t>Feeding Cost of Chicks till 4 weeks</t>
  </si>
  <si>
    <t>No of chicks sold</t>
  </si>
  <si>
    <t xml:space="preserve">Avg Feed Rate </t>
  </si>
  <si>
    <t>Feed cost/Year</t>
  </si>
  <si>
    <t>Total Feed cost / Year</t>
  </si>
  <si>
    <t>Medication And Vaccination Cost Per Year</t>
  </si>
  <si>
    <t>No of birds at the end of 22 weeks</t>
  </si>
  <si>
    <t>Avg cost / Bird</t>
  </si>
  <si>
    <t>Total Cost till 22 weeks</t>
  </si>
  <si>
    <t>No of birds at the end of Laying Period</t>
  </si>
  <si>
    <t>Total Cost of Laying Period</t>
  </si>
  <si>
    <t>No of birds at the end of 4 weeks</t>
  </si>
  <si>
    <t xml:space="preserve">Total Cost </t>
  </si>
  <si>
    <t>No of chicks Hatched</t>
  </si>
  <si>
    <t>Cost of vaccination at Hatchery</t>
  </si>
  <si>
    <t>Total Cost</t>
  </si>
  <si>
    <t>Total Vaccination And Medication Cost of Year</t>
  </si>
  <si>
    <t>Closing Stock</t>
  </si>
  <si>
    <t>Cost per kg</t>
  </si>
  <si>
    <t>Feed in kg/birds</t>
  </si>
  <si>
    <t>Feed Required till 4 weeks (in gram)</t>
  </si>
  <si>
    <t>Medication And Vaccination Cost</t>
  </si>
  <si>
    <t>Setter</t>
  </si>
  <si>
    <t>5.2 Working Capital Calculation</t>
  </si>
  <si>
    <t>Duration (In days)</t>
  </si>
  <si>
    <t>Amount (Rs.)</t>
  </si>
  <si>
    <t>Y1</t>
  </si>
  <si>
    <t>Y2</t>
  </si>
  <si>
    <t>Y3</t>
  </si>
  <si>
    <t>Y4</t>
  </si>
  <si>
    <t>Y5</t>
  </si>
  <si>
    <t>Accounts Receivables (Debtors)</t>
  </si>
  <si>
    <t>Subtotal</t>
  </si>
  <si>
    <t>C</t>
  </si>
  <si>
    <t>Accounts Payable &amp; Accrued Expenses (Creditors)</t>
  </si>
  <si>
    <t>D</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</si>
  <si>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</si>
  <si>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Asumption:</t>
  </si>
  <si>
    <t>Company has to give credit for sale at 14 Days</t>
  </si>
  <si>
    <t>Company will receive credit from suppliers for 7 days</t>
  </si>
  <si>
    <t xml:space="preserve">Working Capital will be financed from bank finance </t>
  </si>
  <si>
    <t>Schedule I : Total Revenue</t>
  </si>
  <si>
    <t>A. Revenue (Schedule I)</t>
  </si>
  <si>
    <t>Schedule - II: Expenses</t>
  </si>
  <si>
    <t>B.Expenses (Schedule II)</t>
  </si>
  <si>
    <t xml:space="preserve">Schedule III: </t>
  </si>
  <si>
    <t>Depreciation Schedule IV</t>
  </si>
  <si>
    <t>8.1 Cash Flow Statement for the Project</t>
  </si>
  <si>
    <t xml:space="preserve">Sr. </t>
  </si>
  <si>
    <t>Operating Profit</t>
  </si>
  <si>
    <t>Total Revnue</t>
  </si>
  <si>
    <t>Equity/ Share capital</t>
  </si>
  <si>
    <t>Reivestment</t>
  </si>
  <si>
    <t>Long Term Loan</t>
  </si>
  <si>
    <t>Short Term Loan</t>
  </si>
  <si>
    <t>Sub Total (A)</t>
  </si>
  <si>
    <t>Cash Outflow (Rs.)</t>
  </si>
  <si>
    <t>Capital Expenditure</t>
  </si>
  <si>
    <t>a</t>
  </si>
  <si>
    <t>Shed Construction</t>
  </si>
  <si>
    <t>b</t>
  </si>
  <si>
    <t>Plant and Machinary</t>
  </si>
  <si>
    <t>c</t>
  </si>
  <si>
    <t>Furniture &amp; Fixture</t>
  </si>
  <si>
    <t>d</t>
  </si>
  <si>
    <t>It Infrastructure</t>
  </si>
  <si>
    <t>e</t>
  </si>
  <si>
    <t>Premilinary Expenses</t>
  </si>
  <si>
    <t>Operational Expenditure</t>
  </si>
  <si>
    <t>Loan Repayment</t>
  </si>
  <si>
    <t>Tax</t>
  </si>
  <si>
    <t>Sub Total (B)</t>
  </si>
  <si>
    <t>Net Cash Flow (A-B)</t>
  </si>
  <si>
    <t>Opening Cash and Bank</t>
  </si>
  <si>
    <t>Cumulative Cash Balance</t>
  </si>
  <si>
    <t>A projected cash flow statement is used to evaluate cash inflows and outflows to deter. mine when, how much, and for how long cash deficits or surpluses will exist for a farm business during an upcoming time period. </t>
  </si>
  <si>
    <t>Smart Grant - In Aid</t>
  </si>
  <si>
    <t>7.1 Balancesheet  for the Project</t>
  </si>
  <si>
    <t>ASSETS</t>
  </si>
  <si>
    <t>Current Assets</t>
  </si>
  <si>
    <t>Cash and Bank Balance</t>
  </si>
  <si>
    <t>Accounts Receivables</t>
  </si>
  <si>
    <t>Other Current Assets</t>
  </si>
  <si>
    <t>Total Current Assets</t>
  </si>
  <si>
    <t>Gross Fixed Assets</t>
  </si>
  <si>
    <t>Less: Depriciation</t>
  </si>
  <si>
    <t>Net Fixed Assets</t>
  </si>
  <si>
    <t>Preliminary &amp; Pre- operative Expenses</t>
  </si>
  <si>
    <t>TOTAL ASSETS</t>
  </si>
  <si>
    <t>LIABILITIES &amp; SHAREHOLDERS EQUITY</t>
  </si>
  <si>
    <t>CURRENT LIABILITIES</t>
  </si>
  <si>
    <t>Short Term Debt (Working capital loan)</t>
  </si>
  <si>
    <t>Accounts Payable &amp; Accrued Expenses</t>
  </si>
  <si>
    <t>Total Curent Liabilities</t>
  </si>
  <si>
    <t xml:space="preserve">Secured Long Term Debt </t>
  </si>
  <si>
    <t>Differed Tax Liabilities</t>
  </si>
  <si>
    <t>TOTAL LIABILITIES</t>
  </si>
  <si>
    <t>Share capital</t>
  </si>
  <si>
    <t>Smart Grant -in-Aid</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</si>
  <si>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</si>
  <si>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</si>
  <si>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</si>
  <si>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</si>
  <si>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</si>
  <si>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</si>
  <si>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</si>
  <si>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</si>
  <si>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</si>
  <si>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</si>
  <si>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60% Subsidy</t>
  </si>
  <si>
    <t>Total Project Cost</t>
  </si>
  <si>
    <t>9.1 Internal Rate of Return</t>
  </si>
  <si>
    <t xml:space="preserve">Particular </t>
  </si>
  <si>
    <t>Y0</t>
  </si>
  <si>
    <t>Add: Preliminary expense written off</t>
  </si>
  <si>
    <t xml:space="preserve">Net Cash Accrual (A)      </t>
  </si>
  <si>
    <t>Initial Investment/ Net Cash Accrual</t>
  </si>
  <si>
    <t>IRR</t>
  </si>
  <si>
    <t xml:space="preserve">Present Value Equivalent </t>
  </si>
  <si>
    <t>Presnt Value of Future Inflows</t>
  </si>
  <si>
    <t>Operating Net Cash Inflow</t>
  </si>
  <si>
    <t>Present Capital Outflow</t>
  </si>
  <si>
    <t>The internal rate of return (IRR) is a ratio used in financial analysis to estimate the profitability of potential investments. IRR is a discount rate that makes the net present value (NPV) of all cash flows equal to zero in a discounted cash flow analysis.</t>
  </si>
  <si>
    <t>9.2 Break even Point</t>
  </si>
  <si>
    <t>Total Receipts</t>
  </si>
  <si>
    <t>Total Variable Exp</t>
  </si>
  <si>
    <t>Total Fixed exp</t>
  </si>
  <si>
    <t>BEP</t>
  </si>
  <si>
    <t>Average BEP</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</si>
  <si>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</si>
  <si>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9.3 Net Presnt Value</t>
  </si>
  <si>
    <t>Profit after Tax &amp; Dividend</t>
  </si>
  <si>
    <t>Add: Deprication</t>
  </si>
  <si>
    <t>Add. Preliminary exp Written off</t>
  </si>
  <si>
    <t>PV Factor @ 10 %</t>
  </si>
  <si>
    <t>Disc Cash Flow</t>
  </si>
  <si>
    <t>Total Discounted Cash Flows</t>
  </si>
  <si>
    <t>Present Value of Outflow</t>
  </si>
  <si>
    <t>NPV</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</si>
  <si>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</si>
  <si>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9.4 Return On Investments</t>
  </si>
  <si>
    <t>Average net profit</t>
  </si>
  <si>
    <t>Total Project cost</t>
  </si>
  <si>
    <t>ROI</t>
  </si>
  <si>
    <t>Return on investment (ROI) is a performance measure used to evaluate the efficiency or profitability of an investment</t>
  </si>
  <si>
    <t>9.5 Payback Period (In years) - Project</t>
  </si>
  <si>
    <t>Initial Investment</t>
  </si>
  <si>
    <t>Cashflow - Initial Investment</t>
  </si>
  <si>
    <t>Payback period (in years) - Project</t>
  </si>
  <si>
    <t>The payback period refers to the amount of time it takes to recover the cost of an investment </t>
  </si>
  <si>
    <t>Profit after Tax &amp; Diivdend (PAT)</t>
  </si>
  <si>
    <t>Damaged Eggs @2%.</t>
  </si>
  <si>
    <t>Monthly Profitability statement of Each shareholders</t>
  </si>
  <si>
    <t>Sale</t>
  </si>
  <si>
    <t>(98 Eggs per day @ 7.5)</t>
  </si>
  <si>
    <t>Less: Expenses</t>
  </si>
  <si>
    <t xml:space="preserve">         (250birds* Rs. 1.65 per birds)*30 days</t>
  </si>
  <si>
    <t>Profit</t>
  </si>
  <si>
    <t>Total Eggs</t>
  </si>
  <si>
    <t>Current liabilities (Own contribution payble)</t>
  </si>
  <si>
    <t>Own contribution</t>
  </si>
  <si>
    <t>Total Receivables</t>
  </si>
  <si>
    <t>Total Payble</t>
  </si>
  <si>
    <t>other maintance charges</t>
  </si>
  <si>
    <t>Accountant</t>
  </si>
  <si>
    <t>labour</t>
  </si>
  <si>
    <t>IRR means Intial investment divided by Total of Net cash accrual</t>
  </si>
  <si>
    <t>Total Capital Expenditure</t>
  </si>
  <si>
    <t>Particular</t>
  </si>
  <si>
    <t xml:space="preserve">Govt. Grant under SMART Project </t>
  </si>
  <si>
    <t>Means of Finance</t>
  </si>
  <si>
    <t>Financial ratio</t>
  </si>
  <si>
    <t>Result</t>
  </si>
  <si>
    <t>Permissible limit</t>
  </si>
  <si>
    <t>Break Even Point (BEP)</t>
  </si>
  <si>
    <t>Project Viable</t>
  </si>
  <si>
    <t xml:space="preserve">BEP shall be less than 60% </t>
  </si>
  <si>
    <t>&lt;60%</t>
  </si>
  <si>
    <t>Avg. Return on Capital Employed Average (ROCE)</t>
  </si>
  <si>
    <t xml:space="preserve">RoCE  for the project shall be more than 20% </t>
  </si>
  <si>
    <t>&gt;20%</t>
  </si>
  <si>
    <t>Internal Rate of Return (IRR)</t>
  </si>
  <si>
    <t xml:space="preserve">The project internal rate of return shall be more than 12% </t>
  </si>
  <si>
    <t>&gt;12%</t>
  </si>
  <si>
    <t>Net present value (at a discount rate of 10 per cent)</t>
  </si>
  <si>
    <t>Positive</t>
  </si>
  <si>
    <t>Payback period</t>
  </si>
  <si>
    <t>NPV is high and positive at a conservative project life of 5 years</t>
  </si>
  <si>
    <t xml:space="preserve">With a discount rate of 10% and a span of 5 operational years, the NPV should be positive </t>
  </si>
  <si>
    <t>&lt;5 years</t>
  </si>
  <si>
    <t xml:space="preserve">The Pack Back Period (Project/ Equity) shall be less than 5 years </t>
  </si>
  <si>
    <t>Financial Indicators</t>
  </si>
  <si>
    <t>Construction of office</t>
  </si>
  <si>
    <t>Rate per unit</t>
  </si>
  <si>
    <t>Area/Qty</t>
  </si>
  <si>
    <t>Chick guard 30 feet long</t>
  </si>
  <si>
    <t>Chick guard stand</t>
  </si>
  <si>
    <t>Chick transportation box with fix partition (50*450)</t>
  </si>
  <si>
    <t>Breeder Egg tray</t>
  </si>
  <si>
    <t>Commercial Egg Tray</t>
  </si>
  <si>
    <t>Egg Crate Set (WITH 12 EGG TRAY &amp; 2 BOTTOM PLATE)</t>
  </si>
  <si>
    <t>EGG BOX WITH TRAY AND BOTTOM PLATE</t>
  </si>
  <si>
    <t>VACCINATOR</t>
  </si>
  <si>
    <t>DE-BEAKING MACHINE</t>
  </si>
  <si>
    <t>NEST BOX (24 HOLES)</t>
  </si>
  <si>
    <r>
      <t>Construction of shed (</t>
    </r>
    <r>
      <rPr>
        <b/>
        <sz val="10"/>
        <rFont val="Calibri"/>
        <family val="2"/>
        <scheme val="minor"/>
      </rPr>
      <t>Mother Unit</t>
    </r>
    <r>
      <rPr>
        <sz val="10"/>
        <rFont val="Calibri"/>
        <family val="2"/>
        <scheme val="minor"/>
      </rPr>
      <t>) 4000 sq.*375</t>
    </r>
  </si>
  <si>
    <t>Central Grading Unit (400 Sq.*375).</t>
  </si>
  <si>
    <t>Cold storage room (225 Sq.*1045)</t>
  </si>
  <si>
    <t>Construction  for feed mill and storage (1000 sq. *625.65)</t>
  </si>
  <si>
    <t>Electric Brooder (2*3250)</t>
  </si>
  <si>
    <t>Elctric Brooder (Mother Unit) (6*3250)</t>
  </si>
  <si>
    <t>Gas Brooder (Mother unit) (2*2300)</t>
  </si>
  <si>
    <t>Audit</t>
  </si>
  <si>
    <t>Machinary</t>
  </si>
  <si>
    <t>Plant</t>
  </si>
  <si>
    <t>Machineries</t>
  </si>
  <si>
    <t>Other Miss. Exp.</t>
  </si>
  <si>
    <t>9.6 Debt Service Covergae Ratio (DSCR)</t>
  </si>
  <si>
    <t>Net Operating Income</t>
  </si>
  <si>
    <t>Add: Depreciation</t>
  </si>
  <si>
    <t>Add: Amortization</t>
  </si>
  <si>
    <t>Intwerest on TL</t>
  </si>
  <si>
    <t>Total Annual EMI</t>
  </si>
  <si>
    <t>Debt Service Coverage  Ratio (DCSR)</t>
  </si>
  <si>
    <t xml:space="preserve">Avergae DSCR </t>
  </si>
  <si>
    <t>the debt-service coverage ratio (DSCR) is a measurement of a firm's available cash flow to pay current debt obligations. The DSCR shows investors whether a company has enough income to pay its debts.</t>
  </si>
  <si>
    <t>D. Amortization ((Schedule III)</t>
  </si>
  <si>
    <t>E. Depreciation (Schedule IV)</t>
  </si>
  <si>
    <t>F. Profit before Taxation (EBT)</t>
  </si>
  <si>
    <t>G. Profit After Tax (PAT)</t>
  </si>
  <si>
    <t xml:space="preserve">H. Operational Profit </t>
  </si>
  <si>
    <t>Debt Service Coverage Ratio (DSCR)</t>
  </si>
  <si>
    <t>Not Applicable</t>
  </si>
  <si>
    <t>Note: Debt Service Coverage Ratio (DSCR) not applicable in this case due to any loan not taken by any bank</t>
  </si>
  <si>
    <t>Birds transport cage (1250*100)</t>
  </si>
  <si>
    <t>%</t>
  </si>
  <si>
    <t>Types of sales</t>
  </si>
  <si>
    <t>Y 1</t>
  </si>
  <si>
    <t>Y 2</t>
  </si>
  <si>
    <t>Y 3</t>
  </si>
  <si>
    <t>Y 4</t>
  </si>
  <si>
    <t>Y 5</t>
  </si>
  <si>
    <t>1. Purchase of eggs from Farmers</t>
  </si>
  <si>
    <t xml:space="preserve">2. Egg Collection, storage cost </t>
  </si>
  <si>
    <t>3. Transportation cost</t>
  </si>
  <si>
    <t>4. Feeding cost</t>
  </si>
  <si>
    <t>5. Medication And Vaccination Cost</t>
  </si>
  <si>
    <t>6. Other Miss. Exp.</t>
  </si>
  <si>
    <t>1. Purchase of eggs from Farmers (60%) per day</t>
  </si>
  <si>
    <t>3. Transporation cost</t>
  </si>
  <si>
    <t>Amt In Rs.</t>
  </si>
  <si>
    <r>
      <t>Add</t>
    </r>
    <r>
      <rPr>
        <sz val="8"/>
        <color rgb="FF000000"/>
        <rFont val="Bookman Old Style"/>
        <family val="1"/>
      </rPr>
      <t>: Deprication</t>
    </r>
  </si>
  <si>
    <t>F</t>
  </si>
  <si>
    <t>M</t>
  </si>
  <si>
    <t>SC</t>
  </si>
  <si>
    <t>ST</t>
  </si>
  <si>
    <t>MF</t>
  </si>
  <si>
    <t>SF</t>
  </si>
  <si>
    <t>BF</t>
  </si>
  <si>
    <t>LANDLESS</t>
  </si>
  <si>
    <t>General</t>
  </si>
  <si>
    <t>% of category</t>
  </si>
  <si>
    <t>Purchase of Eggs from CPDO (2500 Eggs. At Rs. 16 per egg)</t>
  </si>
  <si>
    <t>350/400</t>
  </si>
  <si>
    <t>Construction of shed (Parent Farm)5000 sq*400</t>
  </si>
  <si>
    <t>Changing Staff Room (50 sq. *1045)</t>
  </si>
  <si>
    <t>Chick Feeder (150*20)</t>
  </si>
  <si>
    <t>Chick Drinker (100*20)</t>
  </si>
  <si>
    <t>Adult Feeder (270*18)</t>
  </si>
  <si>
    <t>Adult Drinker  (295*20)</t>
  </si>
  <si>
    <t>Lease Agreement</t>
  </si>
  <si>
    <t>per day 19440 eggs collection by company from 330 members</t>
  </si>
  <si>
    <t>Supervisor salary Rs. 15000 per month</t>
  </si>
  <si>
    <t>Driver Salary Rs. 18000 per month</t>
  </si>
  <si>
    <t>Hatchery worker Salary Rs. 20000 per month</t>
  </si>
  <si>
    <t>Accountant - 28000 p. m.</t>
  </si>
  <si>
    <t>labour - 40000. p.m.</t>
  </si>
  <si>
    <t>Hatchery room ( 3000 sq. *1045)</t>
  </si>
  <si>
    <t>Pickup VAN</t>
  </si>
  <si>
    <t>Hood for Pickup VAN</t>
  </si>
  <si>
    <t>Vehicle</t>
  </si>
  <si>
    <t>-</t>
  </si>
  <si>
    <t>Loan amount</t>
  </si>
  <si>
    <t>Rate of Interest</t>
  </si>
  <si>
    <t>Term</t>
  </si>
  <si>
    <t>No of installment</t>
  </si>
  <si>
    <t>Year</t>
  </si>
  <si>
    <t>Month</t>
  </si>
  <si>
    <t>OPENING BALANCE</t>
  </si>
  <si>
    <t>INTEREST</t>
  </si>
  <si>
    <t>INSTALLMENT</t>
  </si>
  <si>
    <t>PRINCIPLE</t>
  </si>
  <si>
    <t>CLOSING BALANCE</t>
  </si>
  <si>
    <t>Total Interest</t>
  </si>
  <si>
    <t>Bank Loan</t>
  </si>
  <si>
    <t>Interest on Loan</t>
  </si>
  <si>
    <t>Interest: Schedule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</si>
</sst>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 #,##0_);_(* \(#,##0\);_(* &quot;-&quot;_);_(@_)"/>
    <numFmt numFmtId="165" formatCode="_(* #,##0.00_);_(* \(#,##0.00\);_(* &quot;-&quot;??_);_(@_)"/>
    <numFmt numFmtId="166" formatCode="_(* #,##0_);_(* \(#,##0\);_(* &quot;-&quot;??_);_(@_)"/>
    <numFmt numFmtId="167" formatCode="_ * #,##0_ ;_ * \-#,##0_ ;_ * &quot;-&quot;??_ ;_ @_ "/>
    <numFmt numFmtId="169" formatCode="_-* #,##0_-;\-* #,##0_-;_-* &quot;-&quot;??_-;_-@"/>
    <numFmt numFmtId="170" formatCode="_(* #,##0.0_);_(* \(#,##0.0\);_(* &quot;-&quot;??_);_(@_)"/>
  </numFmts>
  <fonts count="76" x14ac:knownFonts="1">
    <font>
      <sz val="10"/>
      <name val="Arial"/>
    </font>
    <font>
      <sz val="10.5"/>
      <color theme="1"/>
      <name val="Segoe UI"/>
      <family val="2"/>
    </font>
    <font>
      <sz val="10"/>
      <name val="Arial"/>
      <family val="2"/>
    </font>
    <font>
      <b/>
      <sz val="20"/>
      <name val="Calibri"/>
      <family val="2"/>
      <scheme val="minor"/>
    </font>
    <font>
      <sz val="14"/>
      <name val="Calibri"/>
      <family val="2"/>
      <scheme val="minor"/>
    </font>
    <font>
      <b/>
      <sz val="14"/>
      <name val="Calibri"/>
      <family val="2"/>
      <scheme val="minor"/>
    </font>
    <font>
      <b/>
      <u/>
      <sz val="16"/>
      <name val="Calibri"/>
      <family val="2"/>
      <scheme val="minor"/>
    </font>
    <font>
      <b/>
      <sz val="16"/>
      <name val="Calibri"/>
      <family val="2"/>
      <scheme val="minor"/>
    </font>
    <font>
      <sz val="12"/>
      <name val="Calibri"/>
      <family val="2"/>
      <scheme val="minor"/>
    </font>
    <font>
      <b/>
      <sz val="12"/>
      <name val="Calibri"/>
      <family val="2"/>
      <scheme val="minor"/>
    </font>
    <font>
      <b/>
      <sz val="18"/>
      <name val="Calibri"/>
      <family val="2"/>
      <scheme val="minor"/>
    </font>
    <font>
      <b/>
      <sz val="10"/>
      <name val="Calibri"/>
      <family val="2"/>
      <scheme val="minor"/>
    </font>
    <font>
      <sz val="10"/>
      <name val="Calibri"/>
      <family val="2"/>
      <scheme val="minor"/>
    </font>
    <font>
      <b/>
      <u/>
      <sz val="22"/>
      <name val="Calibri"/>
      <family val="2"/>
      <scheme val="minor"/>
    </font>
    <font>
      <sz val="20"/>
      <name val="Calibri"/>
      <family val="2"/>
      <scheme val="minor"/>
    </font>
    <font>
      <sz val="16"/>
      <name val="Calibri"/>
      <family val="2"/>
      <scheme val="minor"/>
    </font>
    <font>
      <b/>
      <sz val="11"/>
      <name val="Segoe UI"/>
      <family val="2"/>
    </font>
    <font>
      <sz val="11"/>
      <name val="Segoe UI"/>
      <family val="2"/>
    </font>
    <font>
      <sz val="11"/>
      <color theme="1"/>
      <name val="Segoe UI"/>
      <family val="2"/>
    </font>
    <font>
      <b/>
      <sz val="11"/>
      <color theme="1"/>
      <name val="Segoe UI"/>
      <family val="2"/>
    </font>
    <font>
      <b/>
      <sz val="10"/>
      <name val="Arial"/>
      <family val="2"/>
    </font>
    <font>
      <b/>
      <u/>
      <sz val="18"/>
      <name val="Calibri"/>
      <family val="2"/>
      <scheme val="minor"/>
    </font>
    <font>
      <b/>
      <sz val="11"/>
      <name val="Times New Roman"/>
      <family val="1"/>
    </font>
    <font>
      <sz val="11"/>
      <name val="Calibri"/>
      <family val="2"/>
    </font>
    <font>
      <b/>
      <sz val="14"/>
      <name val="Times New Roman"/>
      <family val="1"/>
    </font>
    <font>
      <b/>
      <sz val="11"/>
      <color rgb="FFFFFFFF"/>
      <name val="Times New Roman"/>
      <family val="1"/>
    </font>
    <font>
      <sz val="11"/>
      <name val="Times New Roman"/>
      <family val="1"/>
    </font>
    <font>
      <b/>
      <sz val="11"/>
      <color rgb="FF000000"/>
      <name val="Times New Roman"/>
      <family val="1"/>
    </font>
    <font>
      <sz val="11"/>
      <color rgb="FF000000"/>
      <name val="Times New Roman"/>
      <family val="1"/>
    </font>
    <font>
      <b/>
      <sz val="9"/>
      <name val="Arial"/>
      <family val="2"/>
    </font>
    <font>
      <b/>
      <sz val="11"/>
      <name val="Calibri"/>
      <family val="2"/>
    </font>
    <font>
      <b/>
      <sz val="11"/>
      <color rgb="FF000000"/>
      <name val="Garamond"/>
      <family val="1"/>
    </font>
    <font>
      <b/>
      <u/>
      <sz val="11"/>
      <color rgb="FF993300"/>
      <name val="Times New Roman"/>
      <family val="1"/>
    </font>
    <font>
      <sz val="11"/>
      <color rgb="FF993300"/>
      <name val="Times New Roman"/>
      <family val="1"/>
    </font>
    <font>
      <b/>
      <sz val="11"/>
      <color rgb="FF993300"/>
      <name val="Times New Roman"/>
      <family val="1"/>
    </font>
    <font>
      <b/>
      <sz val="11"/>
      <color rgb="FF222222"/>
      <name val="Garamond"/>
      <family val="1"/>
    </font>
    <font>
      <b/>
      <sz val="14"/>
      <color rgb="FF000000"/>
      <name val="Times New Roman"/>
      <family val="1"/>
    </font>
    <font>
      <sz val="13"/>
      <color rgb="FF000000"/>
      <name val="Times New Roman"/>
      <family val="1"/>
    </font>
    <font>
      <sz val="12"/>
      <name val="Times New Roman"/>
      <family val="1"/>
    </font>
    <font>
      <b/>
      <u/>
      <sz val="11"/>
      <color rgb="FF0000FF"/>
      <name val="Garamond"/>
      <family val="1"/>
    </font>
    <font>
      <b/>
      <sz val="11"/>
      <color rgb="FF202122"/>
      <name val="Garamond"/>
      <family val="1"/>
    </font>
    <font>
      <b/>
      <sz val="11"/>
      <color rgb="FF202124"/>
      <name val="Garamond"/>
      <family val="1"/>
    </font>
    <font>
      <b/>
      <sz val="12"/>
      <name val="Times New Roman"/>
      <family val="1"/>
    </font>
    <font>
      <b/>
      <u/>
      <sz val="9"/>
      <color rgb="FF0070C0"/>
      <name val="Bookman Old Style"/>
      <family val="1"/>
    </font>
    <font>
      <sz val="9"/>
      <color rgb="FF000000"/>
      <name val="Bookman Old Style"/>
      <family val="1"/>
    </font>
    <font>
      <sz val="10"/>
      <color rgb="FF000000"/>
      <name val="Times New Roman"/>
      <family val="1"/>
    </font>
    <font>
      <b/>
      <sz val="10"/>
      <color rgb="FF000000"/>
      <name val="Times New Roman"/>
      <family val="1"/>
    </font>
    <font>
      <b/>
      <sz val="10"/>
      <color theme="1"/>
      <name val="Times New Roman"/>
      <family val="1"/>
    </font>
    <font>
      <sz val="10"/>
      <color theme="1"/>
      <name val="Arial"/>
      <family val="2"/>
    </font>
    <font>
      <sz val="10"/>
      <color theme="1"/>
      <name val="Calibri"/>
      <family val="2"/>
      <scheme val="minor"/>
    </font>
    <font>
      <b/>
      <sz val="8"/>
      <name val="Calibri"/>
      <family val="2"/>
      <scheme val="minor"/>
    </font>
    <font>
      <sz val="8"/>
      <name val="Calibri"/>
      <family val="2"/>
      <scheme val="minor"/>
    </font>
    <font>
      <b/>
      <sz val="8"/>
      <name val="Bookman Old Style"/>
      <family val="1"/>
    </font>
    <font>
      <u val="singleAccounting"/>
      <sz val="8"/>
      <name val="Calibri"/>
      <family val="2"/>
      <scheme val="minor"/>
    </font>
    <font>
      <u/>
      <sz val="8"/>
      <name val="Calibri"/>
      <family val="2"/>
      <scheme val="minor"/>
    </font>
    <font>
      <sz val="8"/>
      <color indexed="8"/>
      <name val="Calibri"/>
      <family val="2"/>
      <scheme val="minor"/>
    </font>
    <font>
      <b/>
      <sz val="8"/>
      <name val="Times New Roman"/>
      <family val="1"/>
    </font>
    <font>
      <sz val="8"/>
      <name val="Arial"/>
      <family val="2"/>
    </font>
    <font>
      <b/>
      <sz val="8"/>
      <name val="Calibri"/>
      <family val="2"/>
    </font>
    <font>
      <sz val="8"/>
      <name val="Times New Roman"/>
      <family val="1"/>
    </font>
    <font>
      <b/>
      <sz val="8"/>
      <color rgb="FF003366"/>
      <name val="Times New Roman"/>
      <family val="1"/>
    </font>
    <font>
      <sz val="8"/>
      <name val="Calibri"/>
      <family val="2"/>
    </font>
    <font>
      <b/>
      <u/>
      <sz val="8"/>
      <name val="Times New Roman"/>
      <family val="1"/>
    </font>
    <font>
      <sz val="8"/>
      <color rgb="FF008000"/>
      <name val="Times New Roman"/>
      <family val="1"/>
    </font>
    <font>
      <b/>
      <sz val="8"/>
      <color rgb="FF000000"/>
      <name val="Times New Roman"/>
      <family val="1"/>
    </font>
    <font>
      <sz val="8"/>
      <color rgb="FF000000"/>
      <name val="Times New Roman"/>
      <family val="1"/>
    </font>
    <font>
      <b/>
      <sz val="8"/>
      <name val="Arial"/>
      <family val="2"/>
    </font>
    <font>
      <b/>
      <sz val="8"/>
      <name val="Bodoni MT"/>
      <family val="1"/>
    </font>
    <font>
      <sz val="8"/>
      <name val="Bodoni MT"/>
      <family val="1"/>
    </font>
    <font>
      <sz val="9"/>
      <name val="Bookman Old Style"/>
      <family val="1"/>
    </font>
    <font>
      <b/>
      <sz val="9"/>
      <name val="Bookman Old Style"/>
      <family val="1"/>
    </font>
    <font>
      <sz val="8"/>
      <name val="Bookman Old Style"/>
      <family val="1"/>
    </font>
    <font>
      <b/>
      <sz val="9"/>
      <color theme="1"/>
      <name val="Bookman Old Style"/>
      <family val="1"/>
    </font>
    <font>
      <sz val="9"/>
      <color theme="1"/>
      <name val="Bookman Old Style"/>
      <family val="1"/>
    </font>
    <font>
      <sz val="8"/>
      <color rgb="FF000000"/>
      <name val="Bookman Old Style"/>
      <family val="1"/>
    </font>
    <font>
      <b/>
      <sz val="8"/>
      <color rgb="FF000000"/>
      <name val="Bookman Old Style"/>
      <family val="1"/>
    </font>
  </fonts>
  <fills count="10">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rgb="FFFFC000"/>
        <bgColor indexed="64"/>
      </patternFill>
    </fill>
    <fill>
      <patternFill patternType="solid">
        <fgColor rgb="FF92D050"/>
        <bgColor indexed="64"/>
      </patternFill>
    </fill>
    <fill>
      <patternFill patternType="solid">
        <fgColor rgb="FF494429"/>
        <bgColor rgb="FF494429"/>
      </patternFill>
    </fill>
    <fill>
      <patternFill patternType="solid">
        <fgColor rgb="FFFFC000"/>
        <bgColor rgb="FF494429"/>
      </patternFill>
    </fill>
    <fill>
      <patternFill patternType="solid">
        <fgColor rgb="FFFFC000"/>
        <bgColor rgb="FF333300"/>
      </patternFill>
    </fill>
    <fill>
      <patternFill patternType="solid">
        <fgColor rgb="FF333300"/>
        <bgColor rgb="FF333300"/>
      </patternFill>
    </fill>
  </fills>
  <borders count="5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indexed="64"/>
      </right>
      <top style="thin">
        <color rgb="FF000000"/>
      </top>
      <bottom style="thin">
        <color rgb="FF000000"/>
      </bottom>
      <diagonal/>
    </border>
    <border>
      <left style="thin">
        <color indexed="64"/>
      </left>
      <right/>
      <top style="medium">
        <color indexed="64"/>
      </top>
      <bottom style="thin">
        <color indexed="64"/>
      </bottom>
      <diagonal/>
    </border>
    <border>
      <left/>
      <right style="thin">
        <color rgb="FF000000"/>
      </right>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top style="thin">
        <color rgb="FF000000"/>
      </top>
      <bottom/>
      <diagonal/>
    </border>
    <border>
      <left style="thin">
        <color rgb="FF000000"/>
      </left>
      <right/>
      <top style="thin">
        <color indexed="64"/>
      </top>
      <bottom/>
      <diagonal/>
    </border>
  </borders>
  <cellStyleXfs count="3">
    <xf numFmtId="0" fontId="0" fillId="0" borderId="0"/>
    <xf numFmtId="165" fontId="2" fillId="0" borderId="0" applyFont="0" applyFill="0" applyBorder="0" applyAlignment="0" applyProtection="0"/>
    <xf numFmtId="0" fontId="1" fillId="0" borderId="0"/>
  </cellStyleXfs>
  <cellXfs count="674">
    <xf numFmtId="0" fontId="0" fillId="0" borderId="0" xfId="0"/>
    <xf numFmtId="165" fontId="4" fillId="0" borderId="0" xfId="0" applyNumberFormat="1" applyFont="1"/>
    <xf numFmtId="0" fontId="5" fillId="0" borderId="0" xfId="0" applyFont="1"/>
    <xf numFmtId="0" fontId="8" fillId="0" borderId="0" xfId="0" applyFont="1"/>
    <xf numFmtId="0" fontId="4" fillId="0" borderId="0" xfId="0" applyFont="1"/>
    <xf numFmtId="0" fontId="12" fillId="0" borderId="0" xfId="0" applyFont="1"/>
    <xf numFmtId="0" fontId="12" fillId="0" borderId="16" xfId="0" applyFont="1" applyBorder="1"/>
    <xf numFmtId="0" fontId="12" fillId="0" borderId="17" xfId="0" applyFont="1" applyBorder="1"/>
    <xf numFmtId="0" fontId="12" fillId="0" borderId="18" xfId="0" applyFont="1" applyBorder="1"/>
    <xf numFmtId="0" fontId="12" fillId="0" borderId="19" xfId="0" applyFont="1" applyBorder="1"/>
    <xf numFmtId="0" fontId="12" fillId="0" borderId="20" xfId="0" applyFont="1" applyBorder="1"/>
    <xf numFmtId="0" fontId="14" fillId="0" borderId="0" xfId="0" applyFont="1" applyAlignment="1">
      <alignment horizontal="center"/>
    </xf>
    <xf numFmtId="0" fontId="3" fillId="0" borderId="19" xfId="0" applyFont="1" applyBorder="1" applyAlignment="1">
      <alignment horizontal="center"/>
    </xf>
    <xf numFmtId="0" fontId="3" fillId="0" borderId="0" xfId="0" applyFont="1" applyAlignment="1">
      <alignment horizontal="center"/>
    </xf>
    <xf numFmtId="0" fontId="3" fillId="0" borderId="20" xfId="0" applyFont="1" applyBorder="1" applyAlignment="1">
      <alignment horizontal="center"/>
    </xf>
    <xf numFmtId="0" fontId="6" fillId="0" borderId="0" xfId="0" applyFont="1"/>
    <xf numFmtId="0" fontId="7" fillId="0" borderId="0" xfId="0" applyFont="1"/>
    <xf numFmtId="0" fontId="7" fillId="0" borderId="0" xfId="0" applyFont="1" applyAlignment="1">
      <alignment horizontal="center"/>
    </xf>
    <xf numFmtId="0" fontId="7" fillId="0" borderId="20" xfId="0" applyFont="1" applyBorder="1" applyAlignment="1">
      <alignment horizontal="center"/>
    </xf>
    <xf numFmtId="0" fontId="9" fillId="0" borderId="19" xfId="0" applyFont="1" applyBorder="1" applyAlignment="1">
      <alignment horizontal="center"/>
    </xf>
    <xf numFmtId="0" fontId="9" fillId="0" borderId="0" xfId="0" applyFont="1" applyAlignment="1">
      <alignment horizontal="center"/>
    </xf>
    <xf numFmtId="0" fontId="9" fillId="0" borderId="20" xfId="0" applyFont="1" applyBorder="1" applyAlignment="1">
      <alignment horizontal="center"/>
    </xf>
    <xf numFmtId="0" fontId="8" fillId="0" borderId="19" xfId="0" applyFont="1" applyBorder="1"/>
    <xf numFmtId="0" fontId="8" fillId="0" borderId="20" xfId="0" applyFont="1" applyBorder="1"/>
    <xf numFmtId="0" fontId="15" fillId="0" borderId="0" xfId="0" applyFont="1"/>
    <xf numFmtId="0" fontId="15" fillId="0" borderId="24" xfId="0" applyFont="1" applyBorder="1"/>
    <xf numFmtId="0" fontId="8" fillId="0" borderId="25" xfId="0" applyFont="1" applyBorder="1"/>
    <xf numFmtId="0" fontId="8" fillId="0" borderId="26" xfId="0" applyFont="1" applyBorder="1"/>
    <xf numFmtId="0" fontId="17" fillId="0" borderId="0" xfId="0" applyFont="1"/>
    <xf numFmtId="165" fontId="18" fillId="0" borderId="0" xfId="0" applyNumberFormat="1" applyFont="1"/>
    <xf numFmtId="0" fontId="18" fillId="0" borderId="0" xfId="0" applyFont="1"/>
    <xf numFmtId="165" fontId="19" fillId="0" borderId="0" xfId="0" applyNumberFormat="1" applyFont="1"/>
    <xf numFmtId="165" fontId="18" fillId="0" borderId="3" xfId="0" applyNumberFormat="1" applyFont="1" applyBorder="1"/>
    <xf numFmtId="165" fontId="18" fillId="0" borderId="9" xfId="0" applyNumberFormat="1" applyFont="1" applyBorder="1"/>
    <xf numFmtId="0" fontId="19" fillId="0" borderId="0" xfId="0" applyFont="1"/>
    <xf numFmtId="0" fontId="19" fillId="0" borderId="0" xfId="0" applyFont="1" applyAlignment="1">
      <alignment horizontal="left"/>
    </xf>
    <xf numFmtId="0" fontId="19" fillId="0" borderId="0" xfId="0" applyFont="1" applyAlignment="1">
      <alignment horizontal="center"/>
    </xf>
    <xf numFmtId="0" fontId="19" fillId="0" borderId="11" xfId="0" applyFont="1" applyBorder="1"/>
    <xf numFmtId="165" fontId="19" fillId="0" borderId="8" xfId="0" applyNumberFormat="1" applyFont="1" applyBorder="1"/>
    <xf numFmtId="0" fontId="19" fillId="0" borderId="8" xfId="0" applyFont="1" applyBorder="1" applyAlignment="1">
      <alignment horizontal="center"/>
    </xf>
    <xf numFmtId="0" fontId="19" fillId="0" borderId="4" xfId="0" applyFont="1" applyBorder="1"/>
    <xf numFmtId="15" fontId="19" fillId="0" borderId="9" xfId="0" applyNumberFormat="1" applyFont="1" applyBorder="1" applyAlignment="1">
      <alignment horizontal="center"/>
    </xf>
    <xf numFmtId="0" fontId="18" fillId="0" borderId="11" xfId="0" applyFont="1" applyBorder="1"/>
    <xf numFmtId="165" fontId="18" fillId="0" borderId="8" xfId="0" applyNumberFormat="1" applyFont="1" applyBorder="1"/>
    <xf numFmtId="165" fontId="18" fillId="0" borderId="11" xfId="0" applyNumberFormat="1" applyFont="1" applyBorder="1"/>
    <xf numFmtId="166" fontId="18" fillId="0" borderId="8" xfId="0" applyNumberFormat="1" applyFont="1" applyBorder="1"/>
    <xf numFmtId="165" fontId="18" fillId="0" borderId="4" xfId="0" applyNumberFormat="1" applyFont="1" applyBorder="1"/>
    <xf numFmtId="166" fontId="18" fillId="0" borderId="9" xfId="0" applyNumberFormat="1" applyFont="1" applyBorder="1"/>
    <xf numFmtId="0" fontId="18" fillId="0" borderId="4" xfId="0" applyFont="1" applyBorder="1"/>
    <xf numFmtId="165" fontId="18" fillId="0" borderId="9" xfId="0" applyNumberFormat="1" applyFont="1" applyBorder="1" applyAlignment="1">
      <alignment wrapText="1"/>
    </xf>
    <xf numFmtId="0" fontId="18" fillId="0" borderId="6" xfId="0" applyFont="1" applyBorder="1"/>
    <xf numFmtId="165" fontId="18" fillId="0" borderId="1" xfId="0" applyNumberFormat="1" applyFont="1" applyBorder="1"/>
    <xf numFmtId="165" fontId="18" fillId="0" borderId="10" xfId="0" applyNumberFormat="1" applyFont="1" applyBorder="1"/>
    <xf numFmtId="165" fontId="18" fillId="0" borderId="6" xfId="0" applyNumberFormat="1" applyFont="1" applyBorder="1"/>
    <xf numFmtId="166" fontId="18" fillId="0" borderId="10" xfId="0" applyNumberFormat="1" applyFont="1" applyBorder="1"/>
    <xf numFmtId="0" fontId="19" fillId="0" borderId="21" xfId="0" applyFont="1" applyBorder="1"/>
    <xf numFmtId="165" fontId="18" fillId="0" borderId="2" xfId="0" applyNumberFormat="1" applyFont="1" applyBorder="1"/>
    <xf numFmtId="165" fontId="18" fillId="0" borderId="12" xfId="0" applyNumberFormat="1" applyFont="1" applyBorder="1"/>
    <xf numFmtId="166" fontId="18" fillId="0" borderId="12" xfId="0" applyNumberFormat="1" applyFont="1" applyBorder="1"/>
    <xf numFmtId="43" fontId="18" fillId="0" borderId="10" xfId="0" applyNumberFormat="1" applyFont="1" applyBorder="1"/>
    <xf numFmtId="15" fontId="16" fillId="0" borderId="10" xfId="0" applyNumberFormat="1" applyFont="1" applyBorder="1" applyAlignment="1">
      <alignment horizontal="center"/>
    </xf>
    <xf numFmtId="43" fontId="18" fillId="0" borderId="9" xfId="0" applyNumberFormat="1" applyFont="1" applyBorder="1"/>
    <xf numFmtId="166" fontId="19" fillId="0" borderId="12" xfId="0" applyNumberFormat="1" applyFont="1" applyBorder="1"/>
    <xf numFmtId="0" fontId="19" fillId="0" borderId="15" xfId="0" applyFont="1" applyBorder="1"/>
    <xf numFmtId="165" fontId="18" fillId="0" borderId="23" xfId="0" applyNumberFormat="1" applyFont="1" applyBorder="1"/>
    <xf numFmtId="165" fontId="18" fillId="0" borderId="14" xfId="0" applyNumberFormat="1" applyFont="1" applyBorder="1"/>
    <xf numFmtId="165" fontId="19" fillId="0" borderId="14" xfId="0" applyNumberFormat="1" applyFont="1" applyBorder="1"/>
    <xf numFmtId="166" fontId="19" fillId="0" borderId="14" xfId="0" applyNumberFormat="1" applyFont="1" applyBorder="1"/>
    <xf numFmtId="0" fontId="9" fillId="0" borderId="0" xfId="0" applyFont="1"/>
    <xf numFmtId="0" fontId="9" fillId="0" borderId="12" xfId="0" applyFont="1" applyBorder="1" applyAlignment="1">
      <alignment horizontal="center" vertical="center"/>
    </xf>
    <xf numFmtId="0" fontId="8" fillId="0" borderId="12" xfId="0" applyFont="1" applyBorder="1"/>
    <xf numFmtId="165" fontId="8" fillId="0" borderId="0" xfId="1" applyFont="1"/>
    <xf numFmtId="9" fontId="8" fillId="0" borderId="0" xfId="0" applyNumberFormat="1" applyFont="1"/>
    <xf numFmtId="0" fontId="9" fillId="0" borderId="2" xfId="0" applyFont="1" applyBorder="1" applyAlignment="1">
      <alignment horizontal="center" vertical="center"/>
    </xf>
    <xf numFmtId="0" fontId="9" fillId="0" borderId="22" xfId="0" applyFont="1" applyBorder="1" applyAlignment="1">
      <alignment horizontal="center" vertical="center"/>
    </xf>
    <xf numFmtId="0" fontId="8" fillId="0" borderId="8" xfId="0" applyFont="1" applyBorder="1"/>
    <xf numFmtId="0" fontId="8" fillId="0" borderId="9" xfId="0" applyFont="1" applyBorder="1"/>
    <xf numFmtId="0" fontId="8" fillId="0" borderId="21" xfId="0" applyFont="1" applyBorder="1"/>
    <xf numFmtId="165" fontId="9" fillId="0" borderId="22" xfId="0" applyNumberFormat="1" applyFont="1" applyBorder="1"/>
    <xf numFmtId="0" fontId="8" fillId="0" borderId="0" xfId="0" applyFont="1" applyAlignment="1">
      <alignment wrapText="1"/>
    </xf>
    <xf numFmtId="165" fontId="0" fillId="0" borderId="0" xfId="1" applyFont="1"/>
    <xf numFmtId="165" fontId="0" fillId="0" borderId="0" xfId="0" applyNumberFormat="1"/>
    <xf numFmtId="17" fontId="8" fillId="0" borderId="10" xfId="0" applyNumberFormat="1" applyFont="1" applyBorder="1" applyAlignment="1">
      <alignment horizontal="center"/>
    </xf>
    <xf numFmtId="165" fontId="8" fillId="0" borderId="10" xfId="0" applyNumberFormat="1" applyFont="1" applyBorder="1" applyAlignment="1">
      <alignment horizontal="center"/>
    </xf>
    <xf numFmtId="0" fontId="2" fillId="0" borderId="0" xfId="0" applyFont="1"/>
    <xf numFmtId="165" fontId="18" fillId="0" borderId="0" xfId="1" applyFont="1" applyFill="1"/>
    <xf numFmtId="0" fontId="0" fillId="0" borderId="9" xfId="0" applyBorder="1"/>
    <xf numFmtId="167" fontId="18" fillId="0" borderId="10" xfId="0" applyNumberFormat="1" applyFont="1" applyBorder="1"/>
    <xf numFmtId="165" fontId="8" fillId="0" borderId="5" xfId="1" applyFont="1" applyBorder="1"/>
    <xf numFmtId="0" fontId="8" fillId="0" borderId="10" xfId="0" applyFont="1" applyBorder="1"/>
    <xf numFmtId="0" fontId="8" fillId="0" borderId="1" xfId="0" applyFont="1" applyBorder="1" applyAlignment="1">
      <alignment wrapText="1"/>
    </xf>
    <xf numFmtId="165" fontId="8" fillId="0" borderId="7" xfId="1" applyFont="1" applyBorder="1"/>
    <xf numFmtId="0" fontId="5" fillId="0" borderId="0" xfId="0" applyFont="1" applyAlignment="1">
      <alignment horizontal="center"/>
    </xf>
    <xf numFmtId="164" fontId="4" fillId="0" borderId="0" xfId="0" applyNumberFormat="1" applyFont="1"/>
    <xf numFmtId="0" fontId="10" fillId="0" borderId="4" xfId="0" applyFont="1" applyBorder="1"/>
    <xf numFmtId="0" fontId="10" fillId="0" borderId="5" xfId="0" applyFont="1" applyBorder="1"/>
    <xf numFmtId="0" fontId="9" fillId="0" borderId="4" xfId="0" applyFont="1" applyBorder="1" applyAlignment="1">
      <alignment horizontal="center"/>
    </xf>
    <xf numFmtId="0" fontId="9" fillId="0" borderId="5" xfId="0" applyFont="1" applyBorder="1" applyAlignment="1">
      <alignment horizontal="center"/>
    </xf>
    <xf numFmtId="0" fontId="8" fillId="0" borderId="4" xfId="0" applyFont="1" applyBorder="1"/>
    <xf numFmtId="0" fontId="8" fillId="0" borderId="5" xfId="0" applyFont="1" applyBorder="1"/>
    <xf numFmtId="0" fontId="8" fillId="0" borderId="4" xfId="0" applyFont="1" applyBorder="1" applyAlignment="1">
      <alignment horizontal="center" vertical="center"/>
    </xf>
    <xf numFmtId="0" fontId="8" fillId="0" borderId="5" xfId="0" applyFont="1" applyBorder="1" applyAlignment="1">
      <alignment horizontal="center" vertical="center" wrapText="1"/>
    </xf>
    <xf numFmtId="0" fontId="8" fillId="0" borderId="6" xfId="0" applyFont="1" applyBorder="1"/>
    <xf numFmtId="165" fontId="8" fillId="0" borderId="7" xfId="1" applyFont="1" applyBorder="1" applyAlignment="1">
      <alignment horizontal="center"/>
    </xf>
    <xf numFmtId="0" fontId="20" fillId="0" borderId="12" xfId="0" applyFont="1" applyBorder="1" applyAlignment="1">
      <alignment horizontal="center"/>
    </xf>
    <xf numFmtId="0" fontId="0" fillId="0" borderId="12" xfId="0" applyBorder="1"/>
    <xf numFmtId="9" fontId="0" fillId="0" borderId="0" xfId="0" applyNumberFormat="1"/>
    <xf numFmtId="1" fontId="0" fillId="0" borderId="0" xfId="0" applyNumberFormat="1"/>
    <xf numFmtId="0" fontId="20" fillId="0" borderId="0" xfId="0" applyFont="1"/>
    <xf numFmtId="0" fontId="0" fillId="0" borderId="1" xfId="0" applyBorder="1"/>
    <xf numFmtId="0" fontId="2" fillId="0" borderId="12" xfId="0" applyFont="1" applyBorder="1"/>
    <xf numFmtId="0" fontId="0" fillId="0" borderId="0" xfId="0" applyAlignment="1">
      <alignment horizontal="center"/>
    </xf>
    <xf numFmtId="0" fontId="20" fillId="4" borderId="12" xfId="0" applyFont="1" applyFill="1" applyBorder="1"/>
    <xf numFmtId="0" fontId="20" fillId="4" borderId="0" xfId="0" applyFont="1" applyFill="1"/>
    <xf numFmtId="0" fontId="0" fillId="0" borderId="4" xfId="0" applyBorder="1"/>
    <xf numFmtId="0" fontId="25" fillId="6" borderId="41" xfId="0" applyFont="1" applyFill="1" applyBorder="1" applyAlignment="1">
      <alignment horizontal="center" vertical="center" wrapText="1"/>
    </xf>
    <xf numFmtId="0" fontId="22" fillId="0" borderId="41" xfId="0" applyFont="1" applyBorder="1" applyAlignment="1">
      <alignment horizontal="center" vertical="center" wrapText="1"/>
    </xf>
    <xf numFmtId="0" fontId="22" fillId="0" borderId="41" xfId="0" applyFont="1" applyBorder="1" applyAlignment="1">
      <alignment horizontal="left" vertical="center" wrapText="1"/>
    </xf>
    <xf numFmtId="166" fontId="26" fillId="0" borderId="41" xfId="0" applyNumberFormat="1" applyFont="1" applyBorder="1" applyAlignment="1">
      <alignment horizontal="center" vertical="center" wrapText="1"/>
    </xf>
    <xf numFmtId="0" fontId="27" fillId="0" borderId="41" xfId="0" applyFont="1" applyBorder="1" applyAlignment="1">
      <alignment horizontal="center" vertical="center" wrapText="1"/>
    </xf>
    <xf numFmtId="0" fontId="27" fillId="0" borderId="41" xfId="0" applyFont="1" applyBorder="1" applyAlignment="1">
      <alignment vertical="center" wrapText="1"/>
    </xf>
    <xf numFmtId="166" fontId="28" fillId="0" borderId="41" xfId="0" applyNumberFormat="1" applyFont="1" applyBorder="1" applyAlignment="1">
      <alignment horizontal="right" vertical="center" wrapText="1"/>
    </xf>
    <xf numFmtId="0" fontId="28" fillId="0" borderId="41" xfId="0" applyFont="1" applyBorder="1" applyAlignment="1">
      <alignment horizontal="center" vertical="center" wrapText="1"/>
    </xf>
    <xf numFmtId="0" fontId="28" fillId="0" borderId="41" xfId="0" applyFont="1" applyBorder="1" applyAlignment="1">
      <alignment vertical="center" wrapText="1"/>
    </xf>
    <xf numFmtId="166" fontId="27" fillId="0" borderId="41" xfId="0" applyNumberFormat="1" applyFont="1" applyBorder="1" applyAlignment="1">
      <alignment horizontal="right" vertical="center" wrapText="1"/>
    </xf>
    <xf numFmtId="0" fontId="28" fillId="0" borderId="41" xfId="0" applyFont="1" applyBorder="1" applyAlignment="1">
      <alignment horizontal="right" vertical="center" wrapText="1"/>
    </xf>
    <xf numFmtId="43" fontId="0" fillId="0" borderId="0" xfId="0" applyNumberFormat="1"/>
    <xf numFmtId="0" fontId="23" fillId="0" borderId="0" xfId="0" applyFont="1"/>
    <xf numFmtId="0" fontId="30" fillId="0" borderId="0" xfId="0" applyFont="1"/>
    <xf numFmtId="0" fontId="28" fillId="0" borderId="12" xfId="0" applyFont="1" applyBorder="1" applyAlignment="1">
      <alignment wrapText="1"/>
    </xf>
    <xf numFmtId="43" fontId="2" fillId="0" borderId="12" xfId="0" applyNumberFormat="1" applyFont="1" applyBorder="1"/>
    <xf numFmtId="0" fontId="28" fillId="0" borderId="12" xfId="0" applyFont="1" applyBorder="1" applyAlignment="1">
      <alignment vertical="center" wrapText="1"/>
    </xf>
    <xf numFmtId="165" fontId="2" fillId="0" borderId="12" xfId="0" applyNumberFormat="1" applyFont="1" applyBorder="1"/>
    <xf numFmtId="0" fontId="28" fillId="0" borderId="12" xfId="0" applyFont="1" applyBorder="1" applyAlignment="1">
      <alignment horizontal="center" vertical="center" wrapText="1"/>
    </xf>
    <xf numFmtId="2" fontId="2" fillId="0" borderId="12" xfId="0" applyNumberFormat="1" applyFont="1" applyBorder="1" applyAlignment="1">
      <alignment horizontal="right"/>
    </xf>
    <xf numFmtId="0" fontId="23" fillId="0" borderId="0" xfId="0" applyFont="1" applyAlignment="1">
      <alignment vertical="center"/>
    </xf>
    <xf numFmtId="0" fontId="26" fillId="0" borderId="45" xfId="0" applyFont="1" applyBorder="1" applyAlignment="1">
      <alignment vertical="center"/>
    </xf>
    <xf numFmtId="4" fontId="26" fillId="0" borderId="41" xfId="0" applyNumberFormat="1" applyFont="1" applyBorder="1" applyAlignment="1">
      <alignment vertical="center"/>
    </xf>
    <xf numFmtId="0" fontId="32" fillId="0" borderId="45" xfId="0" applyFont="1" applyBorder="1" applyAlignment="1">
      <alignment vertical="center"/>
    </xf>
    <xf numFmtId="4" fontId="33" fillId="0" borderId="41" xfId="0" applyNumberFormat="1" applyFont="1" applyBorder="1" applyAlignment="1">
      <alignment vertical="center"/>
    </xf>
    <xf numFmtId="0" fontId="34" fillId="0" borderId="45" xfId="0" applyFont="1" applyBorder="1" applyAlignment="1">
      <alignment vertical="center"/>
    </xf>
    <xf numFmtId="4" fontId="34" fillId="0" borderId="41" xfId="0" applyNumberFormat="1" applyFont="1" applyBorder="1" applyAlignment="1">
      <alignment vertical="center"/>
    </xf>
    <xf numFmtId="0" fontId="34" fillId="0" borderId="46" xfId="0" applyFont="1" applyBorder="1" applyAlignment="1">
      <alignment vertical="center"/>
    </xf>
    <xf numFmtId="4" fontId="34" fillId="0" borderId="47" xfId="0" applyNumberFormat="1" applyFont="1" applyBorder="1" applyAlignment="1">
      <alignment vertical="center"/>
    </xf>
    <xf numFmtId="4" fontId="23" fillId="0" borderId="0" xfId="0" applyNumberFormat="1" applyFont="1" applyAlignment="1">
      <alignment vertical="center"/>
    </xf>
    <xf numFmtId="4" fontId="26" fillId="0" borderId="42" xfId="0" applyNumberFormat="1" applyFont="1" applyBorder="1" applyAlignment="1">
      <alignment vertical="center"/>
    </xf>
    <xf numFmtId="4" fontId="33" fillId="0" borderId="42" xfId="0" applyNumberFormat="1" applyFont="1" applyBorder="1" applyAlignment="1">
      <alignment vertical="center"/>
    </xf>
    <xf numFmtId="4" fontId="34" fillId="0" borderId="42" xfId="0" applyNumberFormat="1" applyFont="1" applyBorder="1" applyAlignment="1">
      <alignment vertical="center"/>
    </xf>
    <xf numFmtId="0" fontId="23" fillId="0" borderId="12" xfId="0" applyFont="1" applyBorder="1" applyAlignment="1">
      <alignment vertical="center"/>
    </xf>
    <xf numFmtId="43" fontId="27" fillId="0" borderId="41" xfId="0" applyNumberFormat="1" applyFont="1" applyBorder="1" applyAlignment="1">
      <alignment horizontal="center" vertical="center" wrapText="1"/>
    </xf>
    <xf numFmtId="0" fontId="27" fillId="0" borderId="43" xfId="0" applyFont="1" applyBorder="1" applyAlignment="1">
      <alignment horizontal="center" vertical="center" wrapText="1"/>
    </xf>
    <xf numFmtId="0" fontId="37" fillId="0" borderId="0" xfId="0" applyFont="1"/>
    <xf numFmtId="0" fontId="26" fillId="0" borderId="0" xfId="0" applyFont="1"/>
    <xf numFmtId="166" fontId="26" fillId="0" borderId="0" xfId="0" applyNumberFormat="1" applyFont="1"/>
    <xf numFmtId="0" fontId="26" fillId="0" borderId="41" xfId="0" applyFont="1" applyBorder="1"/>
    <xf numFmtId="0" fontId="26" fillId="0" borderId="4" xfId="0" applyFont="1" applyBorder="1" applyAlignment="1">
      <alignment horizontal="center"/>
    </xf>
    <xf numFmtId="0" fontId="26" fillId="0" borderId="4" xfId="0" applyFont="1" applyBorder="1"/>
    <xf numFmtId="166" fontId="26" fillId="0" borderId="4" xfId="0" applyNumberFormat="1" applyFont="1" applyBorder="1"/>
    <xf numFmtId="166" fontId="22" fillId="0" borderId="4" xfId="0" applyNumberFormat="1" applyFont="1" applyBorder="1"/>
    <xf numFmtId="9" fontId="26" fillId="0" borderId="4" xfId="0" applyNumberFormat="1" applyFont="1" applyBorder="1"/>
    <xf numFmtId="0" fontId="43" fillId="0" borderId="0" xfId="0" applyFont="1"/>
    <xf numFmtId="0" fontId="2" fillId="0" borderId="0" xfId="0" applyFont="1" applyAlignment="1">
      <alignment wrapText="1"/>
    </xf>
    <xf numFmtId="0" fontId="44" fillId="0" borderId="0" xfId="0" applyFont="1" applyAlignment="1">
      <alignment horizontal="justify" vertical="center"/>
    </xf>
    <xf numFmtId="0" fontId="20" fillId="0" borderId="0" xfId="0" applyFont="1" applyAlignment="1">
      <alignment wrapText="1"/>
    </xf>
    <xf numFmtId="9" fontId="2" fillId="0" borderId="0" xfId="0" applyNumberFormat="1" applyFont="1"/>
    <xf numFmtId="0" fontId="22" fillId="0" borderId="4" xfId="0" applyFont="1" applyBorder="1" applyAlignment="1">
      <alignment horizontal="center"/>
    </xf>
    <xf numFmtId="3" fontId="26" fillId="0" borderId="4" xfId="0" applyNumberFormat="1" applyFont="1" applyBorder="1"/>
    <xf numFmtId="2" fontId="26" fillId="0" borderId="4" xfId="0" applyNumberFormat="1" applyFont="1" applyBorder="1"/>
    <xf numFmtId="0" fontId="42" fillId="0" borderId="4" xfId="0" applyFont="1" applyBorder="1" applyAlignment="1">
      <alignment horizontal="center"/>
    </xf>
    <xf numFmtId="0" fontId="38" fillId="0" borderId="4" xfId="0" applyFont="1" applyBorder="1" applyAlignment="1">
      <alignment horizontal="center"/>
    </xf>
    <xf numFmtId="0" fontId="45" fillId="0" borderId="41" xfId="0" applyFont="1" applyBorder="1" applyAlignment="1">
      <alignment horizontal="right" vertical="center" wrapText="1"/>
    </xf>
    <xf numFmtId="0" fontId="45" fillId="0" borderId="41" xfId="0" applyFont="1" applyBorder="1" applyAlignment="1">
      <alignment vertical="center" wrapText="1"/>
    </xf>
    <xf numFmtId="169" fontId="45" fillId="0" borderId="41" xfId="0" applyNumberFormat="1" applyFont="1" applyBorder="1" applyAlignment="1">
      <alignment horizontal="right" vertical="center" wrapText="1"/>
    </xf>
    <xf numFmtId="0" fontId="20" fillId="4" borderId="12" xfId="0" applyFont="1" applyFill="1" applyBorder="1" applyAlignment="1">
      <alignment horizontal="center"/>
    </xf>
    <xf numFmtId="166" fontId="11" fillId="4" borderId="12" xfId="0" applyNumberFormat="1" applyFont="1" applyFill="1" applyBorder="1"/>
    <xf numFmtId="169" fontId="46" fillId="4" borderId="41" xfId="0" applyNumberFormat="1" applyFont="1" applyFill="1" applyBorder="1" applyAlignment="1">
      <alignment horizontal="right" vertical="center" wrapText="1"/>
    </xf>
    <xf numFmtId="0" fontId="24" fillId="0" borderId="0" xfId="0" applyFont="1" applyAlignment="1">
      <alignment horizontal="center"/>
    </xf>
    <xf numFmtId="0" fontId="24" fillId="4" borderId="0" xfId="0" applyFont="1" applyFill="1"/>
    <xf numFmtId="0" fontId="47" fillId="7" borderId="41" xfId="0" applyFont="1" applyFill="1" applyBorder="1" applyAlignment="1">
      <alignment vertical="center" wrapText="1"/>
    </xf>
    <xf numFmtId="0" fontId="47" fillId="7" borderId="41" xfId="0" applyFont="1" applyFill="1" applyBorder="1" applyAlignment="1">
      <alignment horizontal="center" vertical="center" wrapText="1"/>
    </xf>
    <xf numFmtId="0" fontId="41" fillId="0" borderId="0" xfId="0" applyFont="1" applyAlignment="1">
      <alignment horizontal="center"/>
    </xf>
    <xf numFmtId="166" fontId="2" fillId="0" borderId="0" xfId="0" applyNumberFormat="1" applyFont="1"/>
    <xf numFmtId="0" fontId="20" fillId="4" borderId="12" xfId="0" applyFont="1" applyFill="1" applyBorder="1" applyAlignment="1">
      <alignment wrapText="1"/>
    </xf>
    <xf numFmtId="0" fontId="20" fillId="4" borderId="12" xfId="0" applyFont="1" applyFill="1" applyBorder="1" applyAlignment="1">
      <alignment horizontal="center" wrapText="1"/>
    </xf>
    <xf numFmtId="0" fontId="20" fillId="4" borderId="0" xfId="0" applyFont="1" applyFill="1" applyAlignment="1">
      <alignment wrapText="1"/>
    </xf>
    <xf numFmtId="0" fontId="20" fillId="4" borderId="0" xfId="0" applyFont="1" applyFill="1" applyAlignment="1">
      <alignment horizontal="center" wrapText="1"/>
    </xf>
    <xf numFmtId="0" fontId="24" fillId="4" borderId="0" xfId="0" applyFont="1" applyFill="1" applyAlignment="1">
      <alignment wrapText="1"/>
    </xf>
    <xf numFmtId="0" fontId="0" fillId="0" borderId="0" xfId="0" applyAlignment="1">
      <alignment wrapText="1"/>
    </xf>
    <xf numFmtId="0" fontId="2" fillId="0" borderId="12" xfId="0" applyFont="1" applyBorder="1" applyAlignment="1">
      <alignment wrapText="1"/>
    </xf>
    <xf numFmtId="0" fontId="48" fillId="0" borderId="12" xfId="0" applyFont="1" applyBorder="1" applyAlignment="1">
      <alignment wrapText="1"/>
    </xf>
    <xf numFmtId="4" fontId="0" fillId="0" borderId="0" xfId="0" applyNumberFormat="1"/>
    <xf numFmtId="0" fontId="42" fillId="0" borderId="0" xfId="0" applyFont="1" applyAlignment="1">
      <alignment horizontal="center"/>
    </xf>
    <xf numFmtId="0" fontId="38" fillId="0" borderId="0" xfId="0" applyFont="1" applyAlignment="1">
      <alignment horizontal="center"/>
    </xf>
    <xf numFmtId="166" fontId="22" fillId="0" borderId="0" xfId="0" applyNumberFormat="1" applyFont="1"/>
    <xf numFmtId="2" fontId="22" fillId="0" borderId="0" xfId="0" applyNumberFormat="1" applyFont="1"/>
    <xf numFmtId="166" fontId="12" fillId="0" borderId="12" xfId="0" applyNumberFormat="1" applyFont="1" applyBorder="1"/>
    <xf numFmtId="166" fontId="2" fillId="0" borderId="12" xfId="1" applyNumberFormat="1" applyFont="1" applyFill="1" applyBorder="1"/>
    <xf numFmtId="0" fontId="48" fillId="0" borderId="12" xfId="0" applyFont="1" applyBorder="1"/>
    <xf numFmtId="166" fontId="49" fillId="0" borderId="12" xfId="0" applyNumberFormat="1" applyFont="1" applyBorder="1"/>
    <xf numFmtId="0" fontId="20" fillId="0" borderId="12" xfId="0" applyFont="1" applyBorder="1" applyAlignment="1">
      <alignment wrapText="1"/>
    </xf>
    <xf numFmtId="166" fontId="2" fillId="4" borderId="12" xfId="1" applyNumberFormat="1" applyFont="1" applyFill="1" applyBorder="1"/>
    <xf numFmtId="43" fontId="2" fillId="0" borderId="0" xfId="0" applyNumberFormat="1" applyFont="1"/>
    <xf numFmtId="165" fontId="50" fillId="0" borderId="0" xfId="0" applyNumberFormat="1" applyFont="1"/>
    <xf numFmtId="165" fontId="51" fillId="0" borderId="0" xfId="0" applyNumberFormat="1" applyFont="1"/>
    <xf numFmtId="0" fontId="50" fillId="0" borderId="0" xfId="0" applyFont="1"/>
    <xf numFmtId="165" fontId="51" fillId="0" borderId="0" xfId="0" applyNumberFormat="1" applyFont="1" applyAlignment="1">
      <alignment horizontal="center"/>
    </xf>
    <xf numFmtId="0" fontId="51" fillId="0" borderId="0" xfId="0" applyFont="1" applyAlignment="1">
      <alignment horizontal="center"/>
    </xf>
    <xf numFmtId="0" fontId="51" fillId="0" borderId="0" xfId="0" applyFont="1"/>
    <xf numFmtId="0" fontId="50" fillId="0" borderId="8" xfId="0" applyFont="1" applyBorder="1" applyAlignment="1">
      <alignment horizontal="center"/>
    </xf>
    <xf numFmtId="0" fontId="50" fillId="0" borderId="12" xfId="0" applyFont="1" applyBorder="1" applyAlignment="1">
      <alignment horizontal="center"/>
    </xf>
    <xf numFmtId="0" fontId="50" fillId="0" borderId="27" xfId="0" applyFont="1" applyBorder="1" applyAlignment="1">
      <alignment horizontal="center"/>
    </xf>
    <xf numFmtId="0" fontId="50" fillId="0" borderId="51" xfId="0" applyFont="1" applyBorder="1" applyAlignment="1">
      <alignment horizontal="left"/>
    </xf>
    <xf numFmtId="9" fontId="50" fillId="0" borderId="28" xfId="0" applyNumberFormat="1" applyFont="1" applyBorder="1" applyAlignment="1">
      <alignment horizontal="left"/>
    </xf>
    <xf numFmtId="0" fontId="50" fillId="0" borderId="28" xfId="0" applyFont="1" applyBorder="1" applyAlignment="1">
      <alignment horizontal="center"/>
    </xf>
    <xf numFmtId="17" fontId="50" fillId="0" borderId="28" xfId="0" applyNumberFormat="1" applyFont="1" applyBorder="1" applyAlignment="1">
      <alignment horizontal="center"/>
    </xf>
    <xf numFmtId="17" fontId="50" fillId="0" borderId="10" xfId="0" applyNumberFormat="1" applyFont="1" applyBorder="1" applyAlignment="1">
      <alignment horizontal="center"/>
    </xf>
    <xf numFmtId="17" fontId="50" fillId="0" borderId="29" xfId="0" applyNumberFormat="1" applyFont="1" applyBorder="1" applyAlignment="1">
      <alignment horizontal="center"/>
    </xf>
    <xf numFmtId="0" fontId="51" fillId="0" borderId="30" xfId="0" applyFont="1" applyBorder="1" applyAlignment="1">
      <alignment horizontal="center"/>
    </xf>
    <xf numFmtId="165" fontId="51" fillId="0" borderId="9" xfId="0" applyNumberFormat="1" applyFont="1" applyBorder="1"/>
    <xf numFmtId="9" fontId="51" fillId="0" borderId="9" xfId="0" applyNumberFormat="1" applyFont="1" applyBorder="1"/>
    <xf numFmtId="165" fontId="51" fillId="0" borderId="8" xfId="0" applyNumberFormat="1" applyFont="1" applyBorder="1"/>
    <xf numFmtId="166" fontId="51" fillId="0" borderId="0" xfId="1" applyNumberFormat="1" applyFont="1" applyBorder="1"/>
    <xf numFmtId="166" fontId="51" fillId="0" borderId="9" xfId="1" applyNumberFormat="1" applyFont="1" applyBorder="1"/>
    <xf numFmtId="166" fontId="51" fillId="0" borderId="31" xfId="1" applyNumberFormat="1" applyFont="1" applyBorder="1"/>
    <xf numFmtId="166" fontId="51" fillId="0" borderId="5" xfId="1" applyNumberFormat="1" applyFont="1" applyBorder="1"/>
    <xf numFmtId="165" fontId="51" fillId="0" borderId="10" xfId="0" applyNumberFormat="1" applyFont="1" applyBorder="1"/>
    <xf numFmtId="166" fontId="51" fillId="0" borderId="7" xfId="1" applyNumberFormat="1" applyFont="1" applyBorder="1"/>
    <xf numFmtId="166" fontId="51" fillId="0" borderId="10" xfId="1" applyNumberFormat="1" applyFont="1" applyBorder="1"/>
    <xf numFmtId="166" fontId="51" fillId="0" borderId="33" xfId="1" applyNumberFormat="1" applyFont="1" applyBorder="1"/>
    <xf numFmtId="0" fontId="51" fillId="0" borderId="19" xfId="0" applyFont="1" applyBorder="1" applyAlignment="1">
      <alignment horizontal="center"/>
    </xf>
    <xf numFmtId="0" fontId="52" fillId="0" borderId="4" xfId="0" applyFont="1" applyBorder="1" applyAlignment="1">
      <alignment vertical="center" wrapText="1"/>
    </xf>
    <xf numFmtId="165" fontId="50" fillId="0" borderId="4" xfId="0" applyNumberFormat="1" applyFont="1" applyBorder="1"/>
    <xf numFmtId="9" fontId="51" fillId="0" borderId="4" xfId="0" applyNumberFormat="1" applyFont="1" applyBorder="1"/>
    <xf numFmtId="0" fontId="51" fillId="0" borderId="32" xfId="0" applyFont="1" applyBorder="1" applyAlignment="1">
      <alignment horizontal="center"/>
    </xf>
    <xf numFmtId="165" fontId="50" fillId="0" borderId="6" xfId="0" applyNumberFormat="1" applyFont="1" applyBorder="1"/>
    <xf numFmtId="166" fontId="51" fillId="0" borderId="1" xfId="1" applyNumberFormat="1" applyFont="1" applyBorder="1"/>
    <xf numFmtId="165" fontId="50" fillId="0" borderId="1" xfId="0" applyNumberFormat="1" applyFont="1" applyBorder="1"/>
    <xf numFmtId="9" fontId="51" fillId="0" borderId="10" xfId="0" applyNumberFormat="1" applyFont="1" applyBorder="1"/>
    <xf numFmtId="165" fontId="50" fillId="0" borderId="0" xfId="0" applyNumberFormat="1" applyFont="1" applyAlignment="1">
      <alignment horizontal="left" wrapText="1"/>
    </xf>
    <xf numFmtId="0" fontId="51" fillId="0" borderId="34" xfId="0" applyFont="1" applyBorder="1" applyAlignment="1">
      <alignment horizontal="center"/>
    </xf>
    <xf numFmtId="165" fontId="51" fillId="0" borderId="25" xfId="0" applyNumberFormat="1" applyFont="1" applyBorder="1"/>
    <xf numFmtId="165" fontId="51" fillId="0" borderId="35" xfId="0" applyNumberFormat="1" applyFont="1" applyBorder="1"/>
    <xf numFmtId="166" fontId="51" fillId="0" borderId="35" xfId="0" applyNumberFormat="1" applyFont="1" applyBorder="1"/>
    <xf numFmtId="0" fontId="50" fillId="0" borderId="0" xfId="0" applyFont="1" applyAlignment="1">
      <alignment horizontal="left"/>
    </xf>
    <xf numFmtId="166" fontId="51" fillId="0" borderId="9" xfId="1" applyNumberFormat="1" applyFont="1" applyFill="1" applyBorder="1"/>
    <xf numFmtId="165" fontId="50" fillId="0" borderId="8" xfId="0" applyNumberFormat="1" applyFont="1" applyBorder="1"/>
    <xf numFmtId="165" fontId="50" fillId="0" borderId="3" xfId="0" applyNumberFormat="1" applyFont="1" applyBorder="1"/>
    <xf numFmtId="0" fontId="50" fillId="0" borderId="8" xfId="0" applyFont="1" applyBorder="1" applyAlignment="1">
      <alignment horizontal="center" wrapText="1" shrinkToFit="1"/>
    </xf>
    <xf numFmtId="165" fontId="50" fillId="0" borderId="9" xfId="0" applyNumberFormat="1" applyFont="1" applyBorder="1"/>
    <xf numFmtId="0" fontId="50" fillId="0" borderId="9" xfId="0" applyFont="1" applyBorder="1" applyAlignment="1">
      <alignment horizontal="center"/>
    </xf>
    <xf numFmtId="9" fontId="50" fillId="0" borderId="9" xfId="0" applyNumberFormat="1" applyFont="1" applyBorder="1" applyAlignment="1">
      <alignment horizontal="center"/>
    </xf>
    <xf numFmtId="165" fontId="51" fillId="0" borderId="1" xfId="0" applyNumberFormat="1" applyFont="1" applyBorder="1"/>
    <xf numFmtId="0" fontId="50" fillId="0" borderId="10" xfId="0" applyFont="1" applyBorder="1" applyAlignment="1">
      <alignment horizontal="center"/>
    </xf>
    <xf numFmtId="165" fontId="50" fillId="0" borderId="10" xfId="0" applyNumberFormat="1" applyFont="1" applyBorder="1" applyAlignment="1">
      <alignment horizontal="center"/>
    </xf>
    <xf numFmtId="0" fontId="51" fillId="0" borderId="8" xfId="0" applyFont="1" applyBorder="1"/>
    <xf numFmtId="165" fontId="51" fillId="0" borderId="3" xfId="0" applyNumberFormat="1" applyFont="1" applyBorder="1"/>
    <xf numFmtId="1" fontId="51" fillId="0" borderId="0" xfId="0" applyNumberFormat="1" applyFont="1"/>
    <xf numFmtId="165" fontId="50" fillId="0" borderId="8" xfId="0" applyNumberFormat="1" applyFont="1" applyBorder="1" applyAlignment="1">
      <alignment horizontal="center"/>
    </xf>
    <xf numFmtId="166" fontId="50" fillId="0" borderId="8" xfId="1" applyNumberFormat="1" applyFont="1" applyFill="1" applyBorder="1"/>
    <xf numFmtId="166" fontId="50" fillId="0" borderId="3" xfId="1" applyNumberFormat="1" applyFont="1" applyFill="1" applyBorder="1"/>
    <xf numFmtId="166" fontId="51" fillId="0" borderId="10" xfId="1" applyNumberFormat="1" applyFont="1" applyFill="1" applyBorder="1"/>
    <xf numFmtId="166" fontId="51" fillId="0" borderId="1" xfId="1" applyNumberFormat="1" applyFont="1" applyFill="1" applyBorder="1"/>
    <xf numFmtId="166" fontId="51" fillId="0" borderId="8" xfId="1" applyNumberFormat="1" applyFont="1" applyFill="1" applyBorder="1"/>
    <xf numFmtId="166" fontId="51" fillId="0" borderId="3" xfId="1" applyNumberFormat="1" applyFont="1" applyFill="1" applyBorder="1"/>
    <xf numFmtId="165" fontId="50" fillId="0" borderId="10" xfId="0" applyNumberFormat="1" applyFont="1" applyBorder="1"/>
    <xf numFmtId="166" fontId="51" fillId="0" borderId="4" xfId="1" applyNumberFormat="1" applyFont="1" applyFill="1" applyBorder="1"/>
    <xf numFmtId="166" fontId="51" fillId="0" borderId="0" xfId="1" applyNumberFormat="1" applyFont="1" applyFill="1" applyBorder="1"/>
    <xf numFmtId="0" fontId="51" fillId="0" borderId="9" xfId="0" applyFont="1" applyBorder="1" applyAlignment="1">
      <alignment horizontal="left"/>
    </xf>
    <xf numFmtId="165" fontId="51" fillId="0" borderId="9" xfId="0" applyNumberFormat="1" applyFont="1" applyBorder="1" applyAlignment="1">
      <alignment wrapText="1"/>
    </xf>
    <xf numFmtId="0" fontId="50" fillId="0" borderId="3" xfId="0" applyFont="1" applyBorder="1" applyAlignment="1">
      <alignment horizontal="center"/>
    </xf>
    <xf numFmtId="0" fontId="51" fillId="0" borderId="3" xfId="0" applyFont="1" applyBorder="1"/>
    <xf numFmtId="165" fontId="50" fillId="0" borderId="10" xfId="0" applyNumberFormat="1" applyFont="1" applyBorder="1" applyAlignment="1">
      <alignment wrapText="1"/>
    </xf>
    <xf numFmtId="1" fontId="51" fillId="0" borderId="9" xfId="0" applyNumberFormat="1" applyFont="1" applyBorder="1"/>
    <xf numFmtId="166" fontId="51" fillId="0" borderId="9" xfId="0" applyNumberFormat="1" applyFont="1" applyBorder="1"/>
    <xf numFmtId="166" fontId="51" fillId="0" borderId="0" xfId="0" applyNumberFormat="1" applyFont="1"/>
    <xf numFmtId="1" fontId="51" fillId="0" borderId="4" xfId="0" applyNumberFormat="1" applyFont="1" applyBorder="1"/>
    <xf numFmtId="166" fontId="51" fillId="0" borderId="0" xfId="0" applyNumberFormat="1" applyFont="1" applyAlignment="1">
      <alignment horizontal="center"/>
    </xf>
    <xf numFmtId="166" fontId="51" fillId="0" borderId="9" xfId="0" applyNumberFormat="1" applyFont="1" applyBorder="1" applyAlignment="1">
      <alignment horizontal="center"/>
    </xf>
    <xf numFmtId="1" fontId="51" fillId="0" borderId="8" xfId="0" applyNumberFormat="1" applyFont="1" applyBorder="1"/>
    <xf numFmtId="165" fontId="50" fillId="0" borderId="14" xfId="0" applyNumberFormat="1" applyFont="1" applyBorder="1"/>
    <xf numFmtId="165" fontId="50" fillId="0" borderId="23" xfId="0" applyNumberFormat="1" applyFont="1" applyBorder="1"/>
    <xf numFmtId="166" fontId="50" fillId="0" borderId="14" xfId="1" applyNumberFormat="1" applyFont="1" applyFill="1" applyBorder="1"/>
    <xf numFmtId="166" fontId="50" fillId="0" borderId="23" xfId="1" applyNumberFormat="1" applyFont="1" applyFill="1" applyBorder="1"/>
    <xf numFmtId="0" fontId="53" fillId="0" borderId="0" xfId="0" applyFont="1"/>
    <xf numFmtId="0" fontId="54" fillId="0" borderId="0" xfId="0" applyFont="1"/>
    <xf numFmtId="165" fontId="50" fillId="0" borderId="2" xfId="0" applyNumberFormat="1" applyFont="1" applyBorder="1"/>
    <xf numFmtId="0" fontId="51" fillId="0" borderId="2" xfId="0" applyFont="1" applyBorder="1"/>
    <xf numFmtId="166" fontId="51" fillId="0" borderId="2" xfId="0" applyNumberFormat="1" applyFont="1" applyBorder="1"/>
    <xf numFmtId="0" fontId="50" fillId="2" borderId="0" xfId="0" applyFont="1" applyFill="1"/>
    <xf numFmtId="0" fontId="51" fillId="2" borderId="0" xfId="0" applyFont="1" applyFill="1"/>
    <xf numFmtId="165" fontId="51" fillId="2" borderId="0" xfId="0" applyNumberFormat="1" applyFont="1" applyFill="1"/>
    <xf numFmtId="165" fontId="50" fillId="2" borderId="0" xfId="0" applyNumberFormat="1" applyFont="1" applyFill="1"/>
    <xf numFmtId="165" fontId="51" fillId="2" borderId="8" xfId="0" applyNumberFormat="1" applyFont="1" applyFill="1" applyBorder="1"/>
    <xf numFmtId="0" fontId="50" fillId="2" borderId="8" xfId="0" applyFont="1" applyFill="1" applyBorder="1" applyAlignment="1">
      <alignment horizontal="center"/>
    </xf>
    <xf numFmtId="0" fontId="50" fillId="2" borderId="12" xfId="0" applyFont="1" applyFill="1" applyBorder="1" applyAlignment="1">
      <alignment horizontal="center"/>
    </xf>
    <xf numFmtId="165" fontId="50" fillId="2" borderId="8" xfId="0" applyNumberFormat="1" applyFont="1" applyFill="1" applyBorder="1"/>
    <xf numFmtId="165" fontId="50" fillId="2" borderId="3" xfId="0" applyNumberFormat="1" applyFont="1" applyFill="1" applyBorder="1"/>
    <xf numFmtId="0" fontId="50" fillId="2" borderId="11" xfId="0" applyFont="1" applyFill="1" applyBorder="1" applyAlignment="1">
      <alignment horizontal="center"/>
    </xf>
    <xf numFmtId="0" fontId="50" fillId="2" borderId="9" xfId="0" applyFont="1" applyFill="1" applyBorder="1" applyAlignment="1">
      <alignment horizontal="center"/>
    </xf>
    <xf numFmtId="0" fontId="50" fillId="2" borderId="5" xfId="0" applyFont="1" applyFill="1" applyBorder="1" applyAlignment="1">
      <alignment horizontal="center"/>
    </xf>
    <xf numFmtId="165" fontId="50" fillId="2" borderId="10" xfId="0" applyNumberFormat="1" applyFont="1" applyFill="1" applyBorder="1"/>
    <xf numFmtId="165" fontId="50" fillId="2" borderId="1" xfId="0" applyNumberFormat="1" applyFont="1" applyFill="1" applyBorder="1"/>
    <xf numFmtId="15" fontId="50" fillId="2" borderId="6" xfId="0" applyNumberFormat="1" applyFont="1" applyFill="1" applyBorder="1" applyAlignment="1">
      <alignment horizontal="center"/>
    </xf>
    <xf numFmtId="17" fontId="50" fillId="2" borderId="10" xfId="0" applyNumberFormat="1" applyFont="1" applyFill="1" applyBorder="1" applyAlignment="1">
      <alignment horizontal="center"/>
    </xf>
    <xf numFmtId="165" fontId="50" fillId="2" borderId="10" xfId="0" applyNumberFormat="1" applyFont="1" applyFill="1" applyBorder="1" applyAlignment="1">
      <alignment horizontal="center"/>
    </xf>
    <xf numFmtId="165" fontId="50" fillId="2" borderId="9" xfId="0" applyNumberFormat="1" applyFont="1" applyFill="1" applyBorder="1"/>
    <xf numFmtId="15" fontId="50" fillId="2" borderId="11" xfId="0" applyNumberFormat="1" applyFont="1" applyFill="1" applyBorder="1" applyAlignment="1">
      <alignment horizontal="center"/>
    </xf>
    <xf numFmtId="165" fontId="50" fillId="2" borderId="8" xfId="0" applyNumberFormat="1" applyFont="1" applyFill="1" applyBorder="1" applyAlignment="1">
      <alignment horizontal="center"/>
    </xf>
    <xf numFmtId="165" fontId="50" fillId="2" borderId="0" xfId="0" applyNumberFormat="1" applyFont="1" applyFill="1" applyAlignment="1">
      <alignment horizontal="center"/>
    </xf>
    <xf numFmtId="15" fontId="50" fillId="2" borderId="4" xfId="0" applyNumberFormat="1" applyFont="1" applyFill="1" applyBorder="1" applyAlignment="1">
      <alignment horizontal="center"/>
    </xf>
    <xf numFmtId="166" fontId="50" fillId="2" borderId="9" xfId="0" applyNumberFormat="1" applyFont="1" applyFill="1" applyBorder="1" applyAlignment="1">
      <alignment horizontal="center"/>
    </xf>
    <xf numFmtId="166" fontId="50" fillId="2" borderId="0" xfId="0" applyNumberFormat="1" applyFont="1" applyFill="1" applyAlignment="1">
      <alignment horizontal="center"/>
    </xf>
    <xf numFmtId="166" fontId="50" fillId="2" borderId="10" xfId="0" applyNumberFormat="1" applyFont="1" applyFill="1" applyBorder="1" applyAlignment="1">
      <alignment horizontal="center"/>
    </xf>
    <xf numFmtId="166" fontId="51" fillId="2" borderId="8" xfId="1" applyNumberFormat="1" applyFont="1" applyFill="1" applyBorder="1" applyAlignment="1">
      <alignment horizontal="center"/>
    </xf>
    <xf numFmtId="165" fontId="51" fillId="2" borderId="9" xfId="0" applyNumberFormat="1" applyFont="1" applyFill="1" applyBorder="1"/>
    <xf numFmtId="166" fontId="51" fillId="2" borderId="10" xfId="1" applyNumberFormat="1" applyFont="1" applyFill="1" applyBorder="1" applyAlignment="1">
      <alignment horizontal="center"/>
    </xf>
    <xf numFmtId="0" fontId="51" fillId="2" borderId="9" xfId="0" applyFont="1" applyFill="1" applyBorder="1" applyAlignment="1">
      <alignment horizontal="center"/>
    </xf>
    <xf numFmtId="166" fontId="51" fillId="2" borderId="9" xfId="1" applyNumberFormat="1" applyFont="1" applyFill="1" applyBorder="1" applyAlignment="1">
      <alignment horizontal="center"/>
    </xf>
    <xf numFmtId="166" fontId="51" fillId="2" borderId="9" xfId="1" applyNumberFormat="1" applyFont="1" applyFill="1" applyBorder="1"/>
    <xf numFmtId="15" fontId="50" fillId="2" borderId="15" xfId="0" applyNumberFormat="1" applyFont="1" applyFill="1" applyBorder="1" applyAlignment="1">
      <alignment horizontal="center"/>
    </xf>
    <xf numFmtId="166" fontId="51" fillId="2" borderId="14" xfId="1" applyNumberFormat="1" applyFont="1" applyFill="1" applyBorder="1" applyAlignment="1">
      <alignment horizontal="center"/>
    </xf>
    <xf numFmtId="17" fontId="51" fillId="0" borderId="0" xfId="0" applyNumberFormat="1" applyFont="1"/>
    <xf numFmtId="43" fontId="51" fillId="0" borderId="0" xfId="0" applyNumberFormat="1" applyFont="1"/>
    <xf numFmtId="2" fontId="51" fillId="0" borderId="0" xfId="0" applyNumberFormat="1" applyFont="1"/>
    <xf numFmtId="166" fontId="50" fillId="2" borderId="9" xfId="1" applyNumberFormat="1" applyFont="1" applyFill="1" applyBorder="1" applyAlignment="1">
      <alignment horizontal="center"/>
    </xf>
    <xf numFmtId="10" fontId="51" fillId="2" borderId="0" xfId="0" applyNumberFormat="1" applyFont="1" applyFill="1"/>
    <xf numFmtId="166" fontId="51" fillId="2" borderId="4" xfId="0" applyNumberFormat="1" applyFont="1" applyFill="1" applyBorder="1"/>
    <xf numFmtId="166" fontId="55" fillId="2" borderId="9" xfId="1" applyNumberFormat="1" applyFont="1" applyFill="1" applyBorder="1"/>
    <xf numFmtId="166" fontId="55" fillId="0" borderId="0" xfId="0" applyNumberFormat="1" applyFont="1"/>
    <xf numFmtId="166" fontId="50" fillId="2" borderId="10" xfId="1" applyNumberFormat="1" applyFont="1" applyFill="1" applyBorder="1" applyAlignment="1">
      <alignment horizontal="center"/>
    </xf>
    <xf numFmtId="166" fontId="50" fillId="2" borderId="4" xfId="0" applyNumberFormat="1" applyFont="1" applyFill="1" applyBorder="1"/>
    <xf numFmtId="165" fontId="50" fillId="2" borderId="14" xfId="0" applyNumberFormat="1" applyFont="1" applyFill="1" applyBorder="1"/>
    <xf numFmtId="165" fontId="51" fillId="2" borderId="23" xfId="0" applyNumberFormat="1" applyFont="1" applyFill="1" applyBorder="1"/>
    <xf numFmtId="166" fontId="50" fillId="2" borderId="15" xfId="0" applyNumberFormat="1" applyFont="1" applyFill="1" applyBorder="1"/>
    <xf numFmtId="166" fontId="51" fillId="2" borderId="14" xfId="1" applyNumberFormat="1" applyFont="1" applyFill="1" applyBorder="1"/>
    <xf numFmtId="166" fontId="50" fillId="2" borderId="0" xfId="0" applyNumberFormat="1" applyFont="1" applyFill="1"/>
    <xf numFmtId="166" fontId="50" fillId="2" borderId="5" xfId="0" applyNumberFormat="1" applyFont="1" applyFill="1" applyBorder="1"/>
    <xf numFmtId="0" fontId="50" fillId="2" borderId="9" xfId="0" applyFont="1" applyFill="1" applyBorder="1"/>
    <xf numFmtId="164" fontId="51" fillId="2" borderId="4" xfId="0" applyNumberFormat="1" applyFont="1" applyFill="1" applyBorder="1"/>
    <xf numFmtId="164" fontId="51" fillId="2" borderId="0" xfId="0" applyNumberFormat="1" applyFont="1" applyFill="1"/>
    <xf numFmtId="0" fontId="51" fillId="2" borderId="5" xfId="0" applyFont="1" applyFill="1" applyBorder="1"/>
    <xf numFmtId="165" fontId="50" fillId="2" borderId="12" xfId="0" applyNumberFormat="1" applyFont="1" applyFill="1" applyBorder="1"/>
    <xf numFmtId="165" fontId="51" fillId="2" borderId="2" xfId="0" applyNumberFormat="1" applyFont="1" applyFill="1" applyBorder="1"/>
    <xf numFmtId="0" fontId="51" fillId="2" borderId="2" xfId="0" applyFont="1" applyFill="1" applyBorder="1"/>
    <xf numFmtId="165" fontId="51" fillId="2" borderId="12" xfId="0" applyNumberFormat="1" applyFont="1" applyFill="1" applyBorder="1"/>
    <xf numFmtId="0" fontId="50" fillId="2" borderId="3" xfId="0" applyFont="1" applyFill="1" applyBorder="1" applyAlignment="1">
      <alignment horizontal="center"/>
    </xf>
    <xf numFmtId="0" fontId="50" fillId="2" borderId="13" xfId="0" applyFont="1" applyFill="1" applyBorder="1" applyAlignment="1">
      <alignment horizontal="center"/>
    </xf>
    <xf numFmtId="165" fontId="51" fillId="2" borderId="10" xfId="0" applyNumberFormat="1" applyFont="1" applyFill="1" applyBorder="1"/>
    <xf numFmtId="15" fontId="50" fillId="2" borderId="10" xfId="0" applyNumberFormat="1" applyFont="1" applyFill="1" applyBorder="1" applyAlignment="1">
      <alignment horizontal="center"/>
    </xf>
    <xf numFmtId="0" fontId="51" fillId="2" borderId="4" xfId="0" applyFont="1" applyFill="1" applyBorder="1"/>
    <xf numFmtId="0" fontId="51" fillId="2" borderId="13" xfId="0" applyFont="1" applyFill="1" applyBorder="1"/>
    <xf numFmtId="164" fontId="51" fillId="2" borderId="8" xfId="0" applyNumberFormat="1" applyFont="1" applyFill="1" applyBorder="1"/>
    <xf numFmtId="165" fontId="51" fillId="2" borderId="4" xfId="0" applyNumberFormat="1" applyFont="1" applyFill="1" applyBorder="1"/>
    <xf numFmtId="9" fontId="51" fillId="2" borderId="9" xfId="0" applyNumberFormat="1" applyFont="1" applyFill="1" applyBorder="1"/>
    <xf numFmtId="1" fontId="51" fillId="2" borderId="5" xfId="0" applyNumberFormat="1" applyFont="1" applyFill="1" applyBorder="1"/>
    <xf numFmtId="1" fontId="51" fillId="2" borderId="9" xfId="0" applyNumberFormat="1" applyFont="1" applyFill="1" applyBorder="1"/>
    <xf numFmtId="0" fontId="51" fillId="2" borderId="9" xfId="0" applyFont="1" applyFill="1" applyBorder="1"/>
    <xf numFmtId="2" fontId="51" fillId="2" borderId="5" xfId="0" applyNumberFormat="1" applyFont="1" applyFill="1" applyBorder="1"/>
    <xf numFmtId="0" fontId="50" fillId="2" borderId="21" xfId="0" applyFont="1" applyFill="1" applyBorder="1"/>
    <xf numFmtId="0" fontId="50" fillId="2" borderId="12" xfId="0" applyFont="1" applyFill="1" applyBorder="1"/>
    <xf numFmtId="2" fontId="50" fillId="2" borderId="22" xfId="0" applyNumberFormat="1" applyFont="1" applyFill="1" applyBorder="1"/>
    <xf numFmtId="2" fontId="50" fillId="2" borderId="12" xfId="0" applyNumberFormat="1" applyFont="1" applyFill="1" applyBorder="1"/>
    <xf numFmtId="165" fontId="51" fillId="0" borderId="4" xfId="0" applyNumberFormat="1" applyFont="1" applyBorder="1"/>
    <xf numFmtId="165" fontId="50" fillId="0" borderId="11" xfId="0" applyNumberFormat="1" applyFont="1" applyBorder="1"/>
    <xf numFmtId="0" fontId="50" fillId="0" borderId="11" xfId="0" applyFont="1" applyBorder="1" applyAlignment="1">
      <alignment horizontal="center"/>
    </xf>
    <xf numFmtId="0" fontId="50" fillId="0" borderId="4" xfId="0" applyFont="1" applyBorder="1" applyAlignment="1">
      <alignment horizontal="left"/>
    </xf>
    <xf numFmtId="165" fontId="51" fillId="0" borderId="6" xfId="0" applyNumberFormat="1" applyFont="1" applyBorder="1"/>
    <xf numFmtId="9" fontId="50" fillId="0" borderId="11" xfId="0" applyNumberFormat="1" applyFont="1" applyBorder="1" applyAlignment="1">
      <alignment horizontal="center"/>
    </xf>
    <xf numFmtId="9" fontId="50" fillId="0" borderId="4" xfId="0" applyNumberFormat="1" applyFont="1" applyBorder="1" applyAlignment="1">
      <alignment horizontal="center"/>
    </xf>
    <xf numFmtId="17" fontId="50" fillId="0" borderId="6" xfId="0" applyNumberFormat="1" applyFont="1" applyBorder="1" applyAlignment="1">
      <alignment horizontal="center"/>
    </xf>
    <xf numFmtId="165" fontId="51" fillId="0" borderId="11" xfId="0" applyNumberFormat="1" applyFont="1" applyBorder="1"/>
    <xf numFmtId="166" fontId="50" fillId="0" borderId="11" xfId="1" applyNumberFormat="1" applyFont="1" applyFill="1" applyBorder="1"/>
    <xf numFmtId="166" fontId="51" fillId="0" borderId="6" xfId="1" applyNumberFormat="1" applyFont="1" applyFill="1" applyBorder="1"/>
    <xf numFmtId="166" fontId="51" fillId="0" borderId="11" xfId="1" applyNumberFormat="1" applyFont="1" applyFill="1" applyBorder="1"/>
    <xf numFmtId="166" fontId="51" fillId="0" borderId="4" xfId="0" applyNumberFormat="1" applyFont="1" applyBorder="1"/>
    <xf numFmtId="166" fontId="51" fillId="0" borderId="11" xfId="0" applyNumberFormat="1" applyFont="1" applyBorder="1"/>
    <xf numFmtId="166" fontId="50" fillId="0" borderId="15" xfId="1" applyNumberFormat="1" applyFont="1" applyFill="1" applyBorder="1"/>
    <xf numFmtId="9" fontId="50" fillId="0" borderId="0" xfId="0" applyNumberFormat="1" applyFont="1" applyAlignment="1">
      <alignment horizontal="center"/>
    </xf>
    <xf numFmtId="165" fontId="50" fillId="0" borderId="1" xfId="0" applyNumberFormat="1" applyFont="1" applyBorder="1" applyAlignment="1">
      <alignment horizontal="center"/>
    </xf>
    <xf numFmtId="0" fontId="58" fillId="0" borderId="0" xfId="0" applyFont="1"/>
    <xf numFmtId="0" fontId="56" fillId="0" borderId="12" xfId="0" applyFont="1" applyBorder="1" applyAlignment="1">
      <alignment horizontal="center" vertical="center"/>
    </xf>
    <xf numFmtId="0" fontId="56" fillId="0" borderId="52" xfId="0" applyFont="1" applyBorder="1" applyAlignment="1">
      <alignment horizontal="center"/>
    </xf>
    <xf numFmtId="0" fontId="56" fillId="0" borderId="40" xfId="0" applyFont="1" applyBorder="1" applyAlignment="1">
      <alignment horizontal="center"/>
    </xf>
    <xf numFmtId="0" fontId="56" fillId="0" borderId="38" xfId="0" applyFont="1" applyBorder="1" applyAlignment="1">
      <alignment horizontal="center"/>
    </xf>
    <xf numFmtId="0" fontId="56" fillId="0" borderId="12" xfId="0" applyFont="1" applyBorder="1" applyAlignment="1">
      <alignment horizontal="center"/>
    </xf>
    <xf numFmtId="0" fontId="58" fillId="0" borderId="12" xfId="0" applyFont="1" applyBorder="1" applyAlignment="1">
      <alignment horizontal="center" vertical="center"/>
    </xf>
    <xf numFmtId="3" fontId="60" fillId="0" borderId="41" xfId="0" applyNumberFormat="1" applyFont="1" applyBorder="1" applyAlignment="1">
      <alignment horizontal="right" vertical="center"/>
    </xf>
    <xf numFmtId="0" fontId="61" fillId="0" borderId="12" xfId="0" applyFont="1" applyBorder="1" applyAlignment="1">
      <alignment vertical="center"/>
    </xf>
    <xf numFmtId="4" fontId="59" fillId="0" borderId="41" xfId="0" applyNumberFormat="1" applyFont="1" applyBorder="1" applyAlignment="1">
      <alignment vertical="center"/>
    </xf>
    <xf numFmtId="4" fontId="59" fillId="0" borderId="42" xfId="0" applyNumberFormat="1" applyFont="1" applyBorder="1" applyAlignment="1">
      <alignment vertical="center"/>
    </xf>
    <xf numFmtId="4" fontId="63" fillId="0" borderId="41" xfId="0" applyNumberFormat="1" applyFont="1" applyBorder="1" applyAlignment="1">
      <alignment vertical="center"/>
    </xf>
    <xf numFmtId="3" fontId="56" fillId="0" borderId="41" xfId="0" applyNumberFormat="1" applyFont="1" applyBorder="1" applyAlignment="1">
      <alignment vertical="center"/>
    </xf>
    <xf numFmtId="3" fontId="59" fillId="0" borderId="41" xfId="0" applyNumberFormat="1" applyFont="1" applyBorder="1" applyAlignment="1">
      <alignment vertical="center"/>
    </xf>
    <xf numFmtId="3" fontId="59" fillId="0" borderId="42" xfId="0" applyNumberFormat="1" applyFont="1" applyBorder="1" applyAlignment="1">
      <alignment vertical="center"/>
    </xf>
    <xf numFmtId="3" fontId="56" fillId="0" borderId="42" xfId="0" applyNumberFormat="1" applyFont="1" applyBorder="1" applyAlignment="1">
      <alignment vertical="center"/>
    </xf>
    <xf numFmtId="0" fontId="58" fillId="0" borderId="12" xfId="0" applyFont="1" applyBorder="1" applyAlignment="1">
      <alignment vertical="center"/>
    </xf>
    <xf numFmtId="3" fontId="63" fillId="0" borderId="41" xfId="0" applyNumberFormat="1" applyFont="1" applyBorder="1" applyAlignment="1">
      <alignment vertical="center"/>
    </xf>
    <xf numFmtId="3" fontId="63" fillId="0" borderId="42" xfId="0" applyNumberFormat="1" applyFont="1" applyBorder="1" applyAlignment="1">
      <alignment vertical="center"/>
    </xf>
    <xf numFmtId="3" fontId="60" fillId="0" borderId="41" xfId="0" applyNumberFormat="1" applyFont="1" applyBorder="1" applyAlignment="1">
      <alignment vertical="center"/>
    </xf>
    <xf numFmtId="3" fontId="60" fillId="0" borderId="42" xfId="0" applyNumberFormat="1" applyFont="1" applyBorder="1" applyAlignment="1">
      <alignment vertical="center"/>
    </xf>
    <xf numFmtId="3" fontId="61" fillId="0" borderId="12" xfId="0" applyNumberFormat="1" applyFont="1" applyBorder="1" applyAlignment="1">
      <alignment vertical="center"/>
    </xf>
    <xf numFmtId="3" fontId="64" fillId="0" borderId="41" xfId="0" applyNumberFormat="1" applyFont="1" applyBorder="1" applyAlignment="1">
      <alignment vertical="center"/>
    </xf>
    <xf numFmtId="3" fontId="64" fillId="0" borderId="42" xfId="0" applyNumberFormat="1" applyFont="1" applyBorder="1" applyAlignment="1">
      <alignment vertical="center"/>
    </xf>
    <xf numFmtId="37" fontId="56" fillId="0" borderId="43" xfId="0" applyNumberFormat="1" applyFont="1" applyBorder="1" applyAlignment="1">
      <alignment vertical="center"/>
    </xf>
    <xf numFmtId="4" fontId="59" fillId="0" borderId="43" xfId="0" applyNumberFormat="1" applyFont="1" applyBorder="1" applyAlignment="1">
      <alignment vertical="center"/>
    </xf>
    <xf numFmtId="4" fontId="63" fillId="0" borderId="43" xfId="0" applyNumberFormat="1" applyFont="1" applyBorder="1" applyAlignment="1">
      <alignment vertical="center"/>
    </xf>
    <xf numFmtId="3" fontId="56" fillId="0" borderId="43" xfId="0" applyNumberFormat="1" applyFont="1" applyBorder="1" applyAlignment="1">
      <alignment vertical="center"/>
    </xf>
    <xf numFmtId="3" fontId="59" fillId="0" borderId="43" xfId="0" applyNumberFormat="1" applyFont="1" applyBorder="1" applyAlignment="1">
      <alignment vertical="center"/>
    </xf>
    <xf numFmtId="3" fontId="63" fillId="0" borderId="43" xfId="0" applyNumberFormat="1" applyFont="1" applyBorder="1" applyAlignment="1">
      <alignment vertical="center"/>
    </xf>
    <xf numFmtId="3" fontId="60" fillId="0" borderId="43" xfId="0" applyNumberFormat="1" applyFont="1" applyBorder="1" applyAlignment="1">
      <alignment vertical="center"/>
    </xf>
    <xf numFmtId="3" fontId="64" fillId="0" borderId="43" xfId="0" applyNumberFormat="1" applyFont="1" applyBorder="1" applyAlignment="1">
      <alignment vertical="center"/>
    </xf>
    <xf numFmtId="0" fontId="59" fillId="0" borderId="53" xfId="0" applyFont="1" applyBorder="1" applyAlignment="1">
      <alignment vertical="center"/>
    </xf>
    <xf numFmtId="0" fontId="62" fillId="0" borderId="54" xfId="0" applyFont="1" applyBorder="1" applyAlignment="1">
      <alignment vertical="center"/>
    </xf>
    <xf numFmtId="0" fontId="56" fillId="0" borderId="54" xfId="0" applyFont="1" applyBorder="1" applyAlignment="1">
      <alignment horizontal="left" vertical="center"/>
    </xf>
    <xf numFmtId="0" fontId="59" fillId="0" borderId="54" xfId="0" applyFont="1" applyBorder="1" applyAlignment="1">
      <alignment horizontal="left" vertical="center"/>
    </xf>
    <xf numFmtId="0" fontId="56" fillId="0" borderId="54" xfId="0" applyFont="1" applyBorder="1" applyAlignment="1">
      <alignment vertical="center"/>
    </xf>
    <xf numFmtId="0" fontId="56" fillId="0" borderId="54" xfId="0" applyFont="1" applyBorder="1" applyAlignment="1">
      <alignment horizontal="left" vertical="center" wrapText="1"/>
    </xf>
    <xf numFmtId="0" fontId="59" fillId="0" borderId="54" xfId="0" applyFont="1" applyBorder="1" applyAlignment="1">
      <alignment vertical="center"/>
    </xf>
    <xf numFmtId="0" fontId="64" fillId="0" borderId="54" xfId="0" applyFont="1" applyBorder="1" applyAlignment="1">
      <alignment vertical="center"/>
    </xf>
    <xf numFmtId="0" fontId="56" fillId="0" borderId="21" xfId="0" applyFont="1" applyBorder="1" applyAlignment="1">
      <alignment horizontal="center"/>
    </xf>
    <xf numFmtId="3" fontId="60" fillId="0" borderId="38" xfId="0" applyNumberFormat="1" applyFont="1" applyBorder="1" applyAlignment="1">
      <alignment horizontal="right" vertical="center"/>
    </xf>
    <xf numFmtId="3" fontId="59" fillId="0" borderId="38" xfId="0" applyNumberFormat="1" applyFont="1" applyBorder="1" applyAlignment="1">
      <alignment vertical="center"/>
    </xf>
    <xf numFmtId="3" fontId="60" fillId="0" borderId="53" xfId="0" applyNumberFormat="1" applyFont="1" applyBorder="1" applyAlignment="1">
      <alignment horizontal="right" vertical="center"/>
    </xf>
    <xf numFmtId="4" fontId="59" fillId="0" borderId="54" xfId="0" applyNumberFormat="1" applyFont="1" applyBorder="1" applyAlignment="1">
      <alignment vertical="center"/>
    </xf>
    <xf numFmtId="0" fontId="51" fillId="0" borderId="9" xfId="0" applyFont="1" applyBorder="1"/>
    <xf numFmtId="3" fontId="56" fillId="0" borderId="54" xfId="0" applyNumberFormat="1" applyFont="1" applyBorder="1" applyAlignment="1">
      <alignment vertical="center"/>
    </xf>
    <xf numFmtId="3" fontId="59" fillId="0" borderId="54" xfId="0" applyNumberFormat="1" applyFont="1" applyBorder="1" applyAlignment="1">
      <alignment vertical="center"/>
    </xf>
    <xf numFmtId="3" fontId="63" fillId="0" borderId="54" xfId="0" applyNumberFormat="1" applyFont="1" applyBorder="1" applyAlignment="1">
      <alignment vertical="center"/>
    </xf>
    <xf numFmtId="3" fontId="60" fillId="0" borderId="54" xfId="0" applyNumberFormat="1" applyFont="1" applyBorder="1" applyAlignment="1">
      <alignment vertical="center"/>
    </xf>
    <xf numFmtId="0" fontId="56" fillId="0" borderId="48" xfId="0" applyFont="1" applyBorder="1" applyAlignment="1">
      <alignment horizontal="center"/>
    </xf>
    <xf numFmtId="3" fontId="60" fillId="0" borderId="48" xfId="0" applyNumberFormat="1" applyFont="1" applyBorder="1" applyAlignment="1">
      <alignment horizontal="right" vertical="center"/>
    </xf>
    <xf numFmtId="4" fontId="59" fillId="0" borderId="48" xfId="0" applyNumberFormat="1" applyFont="1" applyBorder="1" applyAlignment="1">
      <alignment vertical="center"/>
    </xf>
    <xf numFmtId="3" fontId="56" fillId="0" borderId="48" xfId="0" applyNumberFormat="1" applyFont="1" applyBorder="1" applyAlignment="1">
      <alignment vertical="center"/>
    </xf>
    <xf numFmtId="3" fontId="59" fillId="0" borderId="48" xfId="0" applyNumberFormat="1" applyFont="1" applyBorder="1" applyAlignment="1">
      <alignment vertical="center"/>
    </xf>
    <xf numFmtId="3" fontId="63" fillId="0" borderId="48" xfId="0" applyNumberFormat="1" applyFont="1" applyBorder="1" applyAlignment="1">
      <alignment vertical="center"/>
    </xf>
    <xf numFmtId="3" fontId="60" fillId="0" borderId="48" xfId="0" applyNumberFormat="1" applyFont="1" applyBorder="1" applyAlignment="1">
      <alignment vertical="center"/>
    </xf>
    <xf numFmtId="0" fontId="56" fillId="0" borderId="54" xfId="0" applyFont="1" applyBorder="1" applyAlignment="1">
      <alignment horizontal="center"/>
    </xf>
    <xf numFmtId="3" fontId="60" fillId="0" borderId="54" xfId="0" applyNumberFormat="1" applyFont="1" applyBorder="1" applyAlignment="1">
      <alignment horizontal="right" vertical="center"/>
    </xf>
    <xf numFmtId="3" fontId="56" fillId="0" borderId="55" xfId="0" applyNumberFormat="1" applyFont="1" applyBorder="1" applyAlignment="1">
      <alignment vertical="center"/>
    </xf>
    <xf numFmtId="0" fontId="57" fillId="0" borderId="0" xfId="0" applyFont="1"/>
    <xf numFmtId="0" fontId="56" fillId="6" borderId="41" xfId="0" applyFont="1" applyFill="1" applyBorder="1" applyAlignment="1">
      <alignment wrapText="1"/>
    </xf>
    <xf numFmtId="0" fontId="56" fillId="6" borderId="41" xfId="0" applyFont="1" applyFill="1" applyBorder="1" applyAlignment="1">
      <alignment horizontal="center" wrapText="1"/>
    </xf>
    <xf numFmtId="0" fontId="64" fillId="0" borderId="41" xfId="0" applyFont="1" applyBorder="1" applyAlignment="1">
      <alignment wrapText="1"/>
    </xf>
    <xf numFmtId="166" fontId="65" fillId="0" borderId="41" xfId="0" applyNumberFormat="1" applyFont="1" applyBorder="1" applyAlignment="1">
      <alignment wrapText="1"/>
    </xf>
    <xf numFmtId="0" fontId="65" fillId="0" borderId="41" xfId="0" applyFont="1" applyBorder="1" applyAlignment="1">
      <alignment horizontal="left" wrapText="1"/>
    </xf>
    <xf numFmtId="166" fontId="64" fillId="0" borderId="41" xfId="0" applyNumberFormat="1" applyFont="1" applyBorder="1" applyAlignment="1">
      <alignment wrapText="1"/>
    </xf>
    <xf numFmtId="0" fontId="65" fillId="0" borderId="41" xfId="0" applyFont="1" applyBorder="1" applyAlignment="1">
      <alignment wrapText="1"/>
    </xf>
    <xf numFmtId="0" fontId="65" fillId="0" borderId="41" xfId="0" applyFont="1" applyBorder="1" applyAlignment="1">
      <alignment horizontal="right" wrapText="1"/>
    </xf>
    <xf numFmtId="169" fontId="65" fillId="0" borderId="41" xfId="0" applyNumberFormat="1" applyFont="1" applyBorder="1" applyAlignment="1">
      <alignment wrapText="1"/>
    </xf>
    <xf numFmtId="0" fontId="65" fillId="0" borderId="41" xfId="0" applyFont="1" applyBorder="1" applyAlignment="1">
      <alignment vertical="center" wrapText="1"/>
    </xf>
    <xf numFmtId="0" fontId="64" fillId="0" borderId="41" xfId="0" applyFont="1" applyBorder="1" applyAlignment="1">
      <alignment horizontal="right" wrapText="1"/>
    </xf>
    <xf numFmtId="0" fontId="64" fillId="0" borderId="41" xfId="0" applyFont="1" applyBorder="1" applyAlignment="1">
      <alignment horizontal="left" wrapText="1"/>
    </xf>
    <xf numFmtId="0" fontId="66" fillId="0" borderId="0" xfId="0" applyFont="1"/>
    <xf numFmtId="0" fontId="57" fillId="0" borderId="12" xfId="0" applyFont="1" applyBorder="1"/>
    <xf numFmtId="0" fontId="66" fillId="3" borderId="12" xfId="0" applyFont="1" applyFill="1" applyBorder="1"/>
    <xf numFmtId="0" fontId="57" fillId="0" borderId="12" xfId="0" applyFont="1" applyBorder="1" applyAlignment="1">
      <alignment wrapText="1"/>
    </xf>
    <xf numFmtId="0" fontId="57" fillId="3" borderId="12" xfId="0" applyFont="1" applyFill="1" applyBorder="1"/>
    <xf numFmtId="0" fontId="66" fillId="0" borderId="12" xfId="0" applyFont="1" applyBorder="1"/>
    <xf numFmtId="0" fontId="57" fillId="0" borderId="0" xfId="0" applyFont="1" applyAlignment="1">
      <alignment horizontal="center"/>
    </xf>
    <xf numFmtId="0" fontId="66" fillId="0" borderId="0" xfId="0" applyFont="1" applyAlignment="1">
      <alignment horizontal="center"/>
    </xf>
    <xf numFmtId="0" fontId="66" fillId="0" borderId="12" xfId="0" applyFont="1" applyBorder="1" applyAlignment="1">
      <alignment horizontal="center"/>
    </xf>
    <xf numFmtId="0" fontId="57" fillId="0" borderId="12" xfId="0" applyFont="1" applyBorder="1" applyAlignment="1">
      <alignment horizontal="center"/>
    </xf>
    <xf numFmtId="0" fontId="56" fillId="4" borderId="12" xfId="0" applyFont="1" applyFill="1" applyBorder="1"/>
    <xf numFmtId="166" fontId="57" fillId="0" borderId="12" xfId="1" applyNumberFormat="1" applyFont="1" applyBorder="1"/>
    <xf numFmtId="0" fontId="61" fillId="0" borderId="12" xfId="0" applyFont="1" applyBorder="1"/>
    <xf numFmtId="166" fontId="57" fillId="0" borderId="12" xfId="0" applyNumberFormat="1" applyFont="1" applyBorder="1"/>
    <xf numFmtId="0" fontId="66" fillId="4" borderId="12" xfId="0" applyFont="1" applyFill="1" applyBorder="1"/>
    <xf numFmtId="0" fontId="57" fillId="4" borderId="12" xfId="0" applyFont="1" applyFill="1" applyBorder="1"/>
    <xf numFmtId="1" fontId="57" fillId="4" borderId="12" xfId="0" applyNumberFormat="1" applyFont="1" applyFill="1" applyBorder="1"/>
    <xf numFmtId="166" fontId="57" fillId="3" borderId="12" xfId="1" applyNumberFormat="1" applyFont="1" applyFill="1" applyBorder="1"/>
    <xf numFmtId="0" fontId="61" fillId="3" borderId="12" xfId="0" applyFont="1" applyFill="1" applyBorder="1"/>
    <xf numFmtId="2" fontId="57" fillId="0" borderId="12" xfId="0" applyNumberFormat="1" applyFont="1" applyBorder="1"/>
    <xf numFmtId="0" fontId="66" fillId="4" borderId="0" xfId="0" applyFont="1" applyFill="1"/>
    <xf numFmtId="2" fontId="57" fillId="4" borderId="12" xfId="0" applyNumberFormat="1" applyFont="1" applyFill="1" applyBorder="1"/>
    <xf numFmtId="0" fontId="57" fillId="0" borderId="0" xfId="0" applyFont="1" applyAlignment="1">
      <alignment horizontal="right"/>
    </xf>
    <xf numFmtId="0" fontId="56" fillId="0" borderId="0" xfId="0" applyFont="1" applyAlignment="1">
      <alignment horizontal="left"/>
    </xf>
    <xf numFmtId="0" fontId="67" fillId="0" borderId="0" xfId="0" applyFont="1"/>
    <xf numFmtId="0" fontId="68" fillId="0" borderId="0" xfId="0" applyFont="1"/>
    <xf numFmtId="0" fontId="68" fillId="0" borderId="0" xfId="0" applyFont="1" applyAlignment="1">
      <alignment horizontal="left" wrapText="1"/>
    </xf>
    <xf numFmtId="0" fontId="68" fillId="0" borderId="0" xfId="0" applyFont="1" applyAlignment="1">
      <alignment wrapText="1"/>
    </xf>
    <xf numFmtId="0" fontId="69" fillId="0" borderId="12" xfId="0" applyFont="1" applyBorder="1" applyAlignment="1">
      <alignment wrapText="1"/>
    </xf>
    <xf numFmtId="0" fontId="71" fillId="0" borderId="21" xfId="0" applyFont="1" applyBorder="1" applyAlignment="1">
      <alignment horizontal="left"/>
    </xf>
    <xf numFmtId="0" fontId="71" fillId="0" borderId="22" xfId="0" applyFont="1" applyBorder="1"/>
    <xf numFmtId="166" fontId="52" fillId="0" borderId="12" xfId="1" applyNumberFormat="1" applyFont="1" applyBorder="1" applyAlignment="1">
      <alignment horizontal="center"/>
    </xf>
    <xf numFmtId="166" fontId="52" fillId="0" borderId="2" xfId="1" applyNumberFormat="1" applyFont="1" applyBorder="1" applyAlignment="1">
      <alignment horizontal="center"/>
    </xf>
    <xf numFmtId="0" fontId="71" fillId="0" borderId="11" xfId="0" applyFont="1" applyBorder="1" applyAlignment="1">
      <alignment horizontal="left" wrapText="1"/>
    </xf>
    <xf numFmtId="0" fontId="71" fillId="0" borderId="12" xfId="0" applyFont="1" applyBorder="1" applyAlignment="1">
      <alignment wrapText="1"/>
    </xf>
    <xf numFmtId="0" fontId="71" fillId="0" borderId="21" xfId="0" applyFont="1" applyBorder="1"/>
    <xf numFmtId="0" fontId="71" fillId="0" borderId="12" xfId="0" applyFont="1" applyBorder="1"/>
    <xf numFmtId="0" fontId="71" fillId="0" borderId="2" xfId="0" applyFont="1" applyBorder="1"/>
    <xf numFmtId="0" fontId="71" fillId="0" borderId="4" xfId="0" applyFont="1" applyBorder="1" applyAlignment="1">
      <alignment horizontal="left" wrapText="1"/>
    </xf>
    <xf numFmtId="2" fontId="71" fillId="0" borderId="22" xfId="0" applyNumberFormat="1" applyFont="1" applyBorder="1"/>
    <xf numFmtId="2" fontId="71" fillId="0" borderId="21" xfId="0" applyNumberFormat="1" applyFont="1" applyBorder="1"/>
    <xf numFmtId="2" fontId="71" fillId="0" borderId="12" xfId="0" applyNumberFormat="1" applyFont="1" applyBorder="1"/>
    <xf numFmtId="2" fontId="71" fillId="0" borderId="2" xfId="0" applyNumberFormat="1" applyFont="1" applyBorder="1"/>
    <xf numFmtId="1" fontId="71" fillId="0" borderId="22" xfId="0" applyNumberFormat="1" applyFont="1" applyBorder="1"/>
    <xf numFmtId="1" fontId="71" fillId="0" borderId="21" xfId="0" applyNumberFormat="1" applyFont="1" applyBorder="1"/>
    <xf numFmtId="1" fontId="71" fillId="0" borderId="12" xfId="0" applyNumberFormat="1" applyFont="1" applyBorder="1"/>
    <xf numFmtId="1" fontId="71" fillId="0" borderId="2" xfId="0" applyNumberFormat="1" applyFont="1" applyBorder="1"/>
    <xf numFmtId="0" fontId="71" fillId="0" borderId="8" xfId="0" applyFont="1" applyBorder="1" applyAlignment="1">
      <alignment wrapText="1"/>
    </xf>
    <xf numFmtId="0" fontId="71" fillId="0" borderId="3" xfId="0" applyFont="1" applyBorder="1"/>
    <xf numFmtId="0" fontId="71" fillId="0" borderId="8" xfId="0" applyFont="1" applyBorder="1"/>
    <xf numFmtId="0" fontId="71" fillId="0" borderId="9" xfId="0" applyFont="1" applyBorder="1" applyAlignment="1">
      <alignment wrapText="1"/>
    </xf>
    <xf numFmtId="1" fontId="71" fillId="0" borderId="0" xfId="0" applyNumberFormat="1" applyFont="1"/>
    <xf numFmtId="0" fontId="71" fillId="0" borderId="10" xfId="0" applyFont="1" applyBorder="1"/>
    <xf numFmtId="0" fontId="71" fillId="0" borderId="9" xfId="0" applyFont="1" applyBorder="1"/>
    <xf numFmtId="0" fontId="71" fillId="0" borderId="0" xfId="0" applyFont="1"/>
    <xf numFmtId="0" fontId="71" fillId="0" borderId="6" xfId="0" applyFont="1" applyBorder="1" applyAlignment="1">
      <alignment horizontal="left" wrapText="1"/>
    </xf>
    <xf numFmtId="0" fontId="71" fillId="0" borderId="9" xfId="0" applyFont="1" applyBorder="1" applyAlignment="1">
      <alignment horizontal="left" wrapText="1"/>
    </xf>
    <xf numFmtId="166" fontId="71" fillId="0" borderId="22" xfId="0" applyNumberFormat="1" applyFont="1" applyBorder="1"/>
    <xf numFmtId="166" fontId="71" fillId="0" borderId="21" xfId="0" applyNumberFormat="1" applyFont="1" applyBorder="1"/>
    <xf numFmtId="166" fontId="71" fillId="0" borderId="12" xfId="0" applyNumberFormat="1" applyFont="1" applyBorder="1"/>
    <xf numFmtId="166" fontId="71" fillId="0" borderId="2" xfId="0" applyNumberFormat="1" applyFont="1" applyBorder="1"/>
    <xf numFmtId="0" fontId="71" fillId="0" borderId="0" xfId="0" applyFont="1" applyAlignment="1">
      <alignment wrapText="1"/>
    </xf>
    <xf numFmtId="166" fontId="71" fillId="5" borderId="10" xfId="0" applyNumberFormat="1" applyFont="1" applyFill="1" applyBorder="1"/>
    <xf numFmtId="166" fontId="71" fillId="5" borderId="1" xfId="0" applyNumberFormat="1" applyFont="1" applyFill="1" applyBorder="1"/>
    <xf numFmtId="0" fontId="71" fillId="0" borderId="21" xfId="0" applyFont="1" applyBorder="1" applyAlignment="1">
      <alignment horizontal="left" wrapText="1"/>
    </xf>
    <xf numFmtId="0" fontId="71" fillId="0" borderId="2" xfId="0" applyFont="1" applyBorder="1" applyAlignment="1">
      <alignment wrapText="1"/>
    </xf>
    <xf numFmtId="0" fontId="71" fillId="0" borderId="8" xfId="0" applyFont="1" applyBorder="1" applyAlignment="1">
      <alignment horizontal="left" wrapText="1"/>
    </xf>
    <xf numFmtId="0" fontId="71" fillId="0" borderId="4" xfId="0" applyFont="1" applyBorder="1" applyAlignment="1">
      <alignment wrapText="1"/>
    </xf>
    <xf numFmtId="1" fontId="71" fillId="0" borderId="9" xfId="0" applyNumberFormat="1" applyFont="1" applyBorder="1"/>
    <xf numFmtId="0" fontId="71" fillId="0" borderId="6" xfId="0" applyFont="1" applyBorder="1" applyAlignment="1">
      <alignment wrapText="1"/>
    </xf>
    <xf numFmtId="0" fontId="71" fillId="0" borderId="1" xfId="0" applyFont="1" applyBorder="1"/>
    <xf numFmtId="166" fontId="71" fillId="0" borderId="9" xfId="0" applyNumberFormat="1" applyFont="1" applyBorder="1"/>
    <xf numFmtId="0" fontId="71" fillId="0" borderId="3" xfId="0" applyFont="1" applyBorder="1" applyAlignment="1">
      <alignment wrapText="1"/>
    </xf>
    <xf numFmtId="0" fontId="72" fillId="8" borderId="41" xfId="0" applyFont="1" applyFill="1" applyBorder="1" applyAlignment="1">
      <alignment vertical="center" wrapText="1"/>
    </xf>
    <xf numFmtId="0" fontId="72" fillId="8" borderId="41" xfId="0" applyFont="1" applyFill="1" applyBorder="1" applyAlignment="1">
      <alignment horizontal="center" vertical="center"/>
    </xf>
    <xf numFmtId="0" fontId="72" fillId="8" borderId="41" xfId="0" applyFont="1" applyFill="1" applyBorder="1" applyAlignment="1">
      <alignment horizontal="center" vertical="center" wrapText="1"/>
    </xf>
    <xf numFmtId="0" fontId="44" fillId="0" borderId="41" xfId="0" applyFont="1" applyBorder="1" applyAlignment="1">
      <alignment horizontal="center" vertical="center" wrapText="1"/>
    </xf>
    <xf numFmtId="0" fontId="44" fillId="0" borderId="41" xfId="0" applyFont="1" applyBorder="1" applyAlignment="1">
      <alignment vertical="center" wrapText="1"/>
    </xf>
    <xf numFmtId="10" fontId="44" fillId="0" borderId="41" xfId="0" applyNumberFormat="1" applyFont="1" applyBorder="1" applyAlignment="1">
      <alignment horizontal="center" vertical="center" wrapText="1"/>
    </xf>
    <xf numFmtId="0" fontId="44" fillId="0" borderId="41" xfId="0" applyFont="1" applyBorder="1" applyAlignment="1">
      <alignment horizontal="left" vertical="center" wrapText="1"/>
    </xf>
    <xf numFmtId="3" fontId="44" fillId="0" borderId="41" xfId="0" applyNumberFormat="1" applyFont="1" applyBorder="1" applyAlignment="1">
      <alignment horizontal="center" vertical="center" wrapText="1"/>
    </xf>
    <xf numFmtId="0" fontId="44" fillId="0" borderId="36" xfId="0" applyFont="1" applyBorder="1" applyAlignment="1">
      <alignment horizontal="center" vertical="center" wrapText="1"/>
    </xf>
    <xf numFmtId="0" fontId="44" fillId="0" borderId="36" xfId="0" applyFont="1" applyBorder="1" applyAlignment="1">
      <alignment vertical="center" wrapText="1"/>
    </xf>
    <xf numFmtId="2" fontId="44" fillId="0" borderId="36" xfId="0" applyNumberFormat="1" applyFont="1" applyBorder="1" applyAlignment="1">
      <alignment horizontal="center" vertical="center" wrapText="1"/>
    </xf>
    <xf numFmtId="0" fontId="44" fillId="0" borderId="36" xfId="0" applyFont="1" applyBorder="1" applyAlignment="1">
      <alignment horizontal="left" vertical="center" wrapText="1"/>
    </xf>
    <xf numFmtId="0" fontId="44" fillId="0" borderId="12" xfId="0" applyFont="1" applyBorder="1" applyAlignment="1">
      <alignment horizontal="center" vertical="center" wrapText="1"/>
    </xf>
    <xf numFmtId="2" fontId="69" fillId="0" borderId="12" xfId="0" applyNumberFormat="1" applyFont="1" applyBorder="1" applyAlignment="1">
      <alignment horizontal="center"/>
    </xf>
    <xf numFmtId="0" fontId="69" fillId="0" borderId="41" xfId="0" applyFont="1" applyBorder="1" applyAlignment="1">
      <alignment horizontal="center"/>
    </xf>
    <xf numFmtId="0" fontId="69" fillId="0" borderId="41" xfId="0" applyFont="1" applyBorder="1"/>
    <xf numFmtId="166" fontId="69" fillId="0" borderId="41" xfId="0" applyNumberFormat="1" applyFont="1" applyBorder="1"/>
    <xf numFmtId="166" fontId="70" fillId="0" borderId="41" xfId="0" applyNumberFormat="1" applyFont="1" applyBorder="1"/>
    <xf numFmtId="0" fontId="69" fillId="0" borderId="0" xfId="0" applyFont="1"/>
    <xf numFmtId="0" fontId="70" fillId="0" borderId="12" xfId="0" applyFont="1" applyBorder="1"/>
    <xf numFmtId="0" fontId="71" fillId="0" borderId="41" xfId="0" applyFont="1" applyBorder="1" applyAlignment="1">
      <alignment horizontal="center"/>
    </xf>
    <xf numFmtId="0" fontId="71" fillId="0" borderId="41" xfId="0" applyFont="1" applyBorder="1"/>
    <xf numFmtId="0" fontId="71" fillId="0" borderId="42" xfId="0" applyFont="1" applyBorder="1"/>
    <xf numFmtId="166" fontId="71" fillId="0" borderId="41" xfId="0" applyNumberFormat="1" applyFont="1" applyBorder="1"/>
    <xf numFmtId="166" fontId="71" fillId="0" borderId="42" xfId="0" applyNumberFormat="1" applyFont="1" applyBorder="1"/>
    <xf numFmtId="0" fontId="52" fillId="0" borderId="41" xfId="0" applyFont="1" applyBorder="1"/>
    <xf numFmtId="166" fontId="52" fillId="0" borderId="41" xfId="0" applyNumberFormat="1" applyFont="1" applyBorder="1"/>
    <xf numFmtId="9" fontId="71" fillId="0" borderId="41" xfId="0" applyNumberFormat="1" applyFont="1" applyBorder="1"/>
    <xf numFmtId="0" fontId="52" fillId="0" borderId="12" xfId="0" applyFont="1" applyBorder="1"/>
    <xf numFmtId="10" fontId="52" fillId="0" borderId="12" xfId="0" applyNumberFormat="1" applyFont="1" applyBorder="1"/>
    <xf numFmtId="0" fontId="52" fillId="0" borderId="41" xfId="0" applyFont="1" applyBorder="1" applyAlignment="1">
      <alignment horizontal="center"/>
    </xf>
    <xf numFmtId="0" fontId="52" fillId="0" borderId="42" xfId="0" applyFont="1" applyBorder="1" applyAlignment="1">
      <alignment horizontal="center"/>
    </xf>
    <xf numFmtId="0" fontId="23" fillId="0" borderId="39" xfId="0" applyFont="1" applyBorder="1"/>
    <xf numFmtId="0" fontId="23" fillId="0" borderId="49" xfId="0" applyFont="1" applyBorder="1"/>
    <xf numFmtId="0" fontId="74" fillId="0" borderId="41" xfId="0" applyFont="1" applyBorder="1" applyAlignment="1">
      <alignment horizontal="center"/>
    </xf>
    <xf numFmtId="0" fontId="71" fillId="0" borderId="42" xfId="0" applyFont="1" applyBorder="1" applyAlignment="1">
      <alignment horizontal="center"/>
    </xf>
    <xf numFmtId="0" fontId="71" fillId="0" borderId="36" xfId="0" applyFont="1" applyBorder="1"/>
    <xf numFmtId="0" fontId="71" fillId="0" borderId="56" xfId="0" applyFont="1" applyBorder="1"/>
    <xf numFmtId="0" fontId="52" fillId="0" borderId="42" xfId="0" applyFont="1" applyBorder="1"/>
    <xf numFmtId="0" fontId="52" fillId="0" borderId="42" xfId="0" applyFont="1" applyBorder="1" applyAlignment="1">
      <alignment horizontal="center" vertical="center"/>
    </xf>
    <xf numFmtId="0" fontId="71" fillId="0" borderId="41" xfId="0" applyFont="1" applyBorder="1" applyAlignment="1">
      <alignment horizontal="left"/>
    </xf>
    <xf numFmtId="0" fontId="74" fillId="0" borderId="41" xfId="0" applyFont="1" applyBorder="1"/>
    <xf numFmtId="4" fontId="74" fillId="0" borderId="41" xfId="0" applyNumberFormat="1" applyFont="1" applyBorder="1"/>
    <xf numFmtId="0" fontId="75" fillId="0" borderId="41" xfId="0" applyFont="1" applyBorder="1"/>
    <xf numFmtId="165" fontId="74" fillId="0" borderId="41" xfId="0" applyNumberFormat="1" applyFont="1" applyBorder="1"/>
    <xf numFmtId="10" fontId="74" fillId="0" borderId="41" xfId="0" applyNumberFormat="1" applyFont="1" applyBorder="1"/>
    <xf numFmtId="0" fontId="74" fillId="0" borderId="41" xfId="0" applyFont="1" applyBorder="1" applyAlignment="1">
      <alignment horizontal="left"/>
    </xf>
    <xf numFmtId="4" fontId="71" fillId="0" borderId="41" xfId="0" applyNumberFormat="1" applyFont="1" applyBorder="1"/>
    <xf numFmtId="0" fontId="74" fillId="0" borderId="0" xfId="0" applyFont="1"/>
    <xf numFmtId="0" fontId="74" fillId="0" borderId="41" xfId="0" applyFont="1" applyBorder="1" applyAlignment="1">
      <alignment wrapText="1"/>
    </xf>
    <xf numFmtId="0" fontId="75" fillId="0" borderId="41" xfId="0" applyFont="1" applyBorder="1" applyAlignment="1">
      <alignment wrapText="1"/>
    </xf>
    <xf numFmtId="0" fontId="74" fillId="0" borderId="41" xfId="0" quotePrefix="1" applyFont="1" applyBorder="1" applyAlignment="1">
      <alignment horizontal="left" wrapText="1"/>
    </xf>
    <xf numFmtId="3" fontId="71" fillId="0" borderId="41" xfId="0" applyNumberFormat="1" applyFont="1" applyBorder="1"/>
    <xf numFmtId="3" fontId="71" fillId="0" borderId="42" xfId="0" applyNumberFormat="1" applyFont="1" applyBorder="1"/>
    <xf numFmtId="0" fontId="71" fillId="0" borderId="41" xfId="0" applyFont="1" applyBorder="1" applyAlignment="1">
      <alignment wrapText="1"/>
    </xf>
    <xf numFmtId="2" fontId="71" fillId="0" borderId="41" xfId="0" applyNumberFormat="1" applyFont="1" applyBorder="1"/>
    <xf numFmtId="2" fontId="71" fillId="0" borderId="42" xfId="0" applyNumberFormat="1" applyFont="1" applyBorder="1"/>
    <xf numFmtId="166" fontId="71" fillId="0" borderId="0" xfId="0" applyNumberFormat="1" applyFont="1"/>
    <xf numFmtId="165" fontId="71" fillId="0" borderId="0" xfId="0" applyNumberFormat="1" applyFont="1"/>
    <xf numFmtId="166" fontId="52" fillId="0" borderId="12" xfId="0" applyNumberFormat="1" applyFont="1" applyBorder="1"/>
    <xf numFmtId="0" fontId="44" fillId="0" borderId="41" xfId="0" applyFont="1" applyBorder="1" applyAlignment="1">
      <alignment horizontal="center"/>
    </xf>
    <xf numFmtId="166" fontId="44" fillId="0" borderId="41" xfId="0" applyNumberFormat="1" applyFont="1" applyBorder="1" applyAlignment="1">
      <alignment horizontal="center"/>
    </xf>
    <xf numFmtId="0" fontId="69" fillId="0" borderId="41" xfId="0" applyFont="1" applyBorder="1" applyAlignment="1">
      <alignment horizontal="center" vertical="center"/>
    </xf>
    <xf numFmtId="0" fontId="69" fillId="0" borderId="41" xfId="0" applyFont="1" applyBorder="1" applyAlignment="1">
      <alignment wrapText="1"/>
    </xf>
    <xf numFmtId="0" fontId="44" fillId="0" borderId="41" xfId="0" applyFont="1" applyBorder="1" applyAlignment="1">
      <alignment horizontal="center" wrapText="1"/>
    </xf>
    <xf numFmtId="2" fontId="70" fillId="0" borderId="12" xfId="0" applyNumberFormat="1" applyFont="1" applyBorder="1"/>
    <xf numFmtId="2" fontId="70" fillId="0" borderId="12" xfId="0" applyNumberFormat="1" applyFont="1" applyBorder="1" applyAlignment="1">
      <alignment horizontal="center" vertical="center"/>
    </xf>
    <xf numFmtId="0" fontId="70" fillId="9" borderId="41" xfId="0" applyFont="1" applyFill="1" applyBorder="1" applyAlignment="1">
      <alignment horizontal="center"/>
    </xf>
    <xf numFmtId="0" fontId="70" fillId="9" borderId="50" xfId="0" applyFont="1" applyFill="1" applyBorder="1" applyAlignment="1">
      <alignment horizontal="center"/>
    </xf>
    <xf numFmtId="0" fontId="69" fillId="0" borderId="50" xfId="0" applyFont="1" applyBorder="1" applyAlignment="1">
      <alignment horizontal="center"/>
    </xf>
    <xf numFmtId="166" fontId="69" fillId="0" borderId="50" xfId="0" applyNumberFormat="1" applyFont="1" applyBorder="1"/>
    <xf numFmtId="166" fontId="70" fillId="0" borderId="50" xfId="0" applyNumberFormat="1" applyFont="1" applyBorder="1"/>
    <xf numFmtId="0" fontId="69" fillId="0" borderId="50" xfId="0" applyFont="1" applyBorder="1"/>
    <xf numFmtId="2" fontId="70" fillId="0" borderId="41" xfId="0" applyNumberFormat="1" applyFont="1" applyBorder="1"/>
    <xf numFmtId="2" fontId="70" fillId="0" borderId="50" xfId="0" applyNumberFormat="1" applyFont="1" applyBorder="1"/>
    <xf numFmtId="0" fontId="70" fillId="0" borderId="41" xfId="0" applyFont="1" applyBorder="1" applyAlignment="1">
      <alignment wrapText="1"/>
    </xf>
    <xf numFmtId="0" fontId="20" fillId="0" borderId="12" xfId="0" applyFont="1" applyBorder="1"/>
    <xf numFmtId="2" fontId="0" fillId="0" borderId="12" xfId="0" applyNumberFormat="1" applyBorder="1"/>
    <xf numFmtId="166" fontId="51" fillId="0" borderId="9" xfId="1" applyNumberFormat="1" applyFont="1" applyBorder="1" applyAlignment="1">
      <alignment horizontal="right"/>
    </xf>
    <xf numFmtId="170" fontId="2" fillId="0" borderId="12" xfId="1" applyNumberFormat="1" applyFont="1" applyFill="1" applyBorder="1"/>
    <xf numFmtId="0" fontId="45" fillId="0" borderId="42" xfId="0" applyFont="1" applyBorder="1" applyAlignment="1">
      <alignment horizontal="right" vertical="center" wrapText="1"/>
    </xf>
    <xf numFmtId="0" fontId="45" fillId="0" borderId="43" xfId="0" applyFont="1" applyBorder="1" applyAlignment="1">
      <alignment vertical="center" wrapText="1"/>
    </xf>
    <xf numFmtId="0" fontId="57" fillId="0" borderId="0" xfId="1" applyNumberFormat="1" applyFont="1"/>
    <xf numFmtId="166" fontId="57" fillId="0" borderId="0" xfId="1" applyNumberFormat="1" applyFont="1"/>
    <xf numFmtId="165" fontId="57" fillId="0" borderId="0" xfId="1" applyFont="1"/>
    <xf numFmtId="0" fontId="51" fillId="0" borderId="12" xfId="1" applyNumberFormat="1" applyFont="1" applyBorder="1"/>
    <xf numFmtId="166" fontId="51" fillId="0" borderId="12" xfId="1" applyNumberFormat="1" applyFont="1" applyBorder="1"/>
    <xf numFmtId="165" fontId="51" fillId="0" borderId="12" xfId="1" applyFont="1" applyBorder="1"/>
    <xf numFmtId="0" fontId="50" fillId="0" borderId="12" xfId="1" applyNumberFormat="1" applyFont="1" applyBorder="1" applyAlignment="1">
      <alignment horizontal="center" vertical="center" wrapText="1"/>
    </xf>
    <xf numFmtId="166" fontId="50" fillId="0" borderId="12" xfId="1" applyNumberFormat="1" applyFont="1" applyBorder="1" applyAlignment="1">
      <alignment horizontal="center" vertical="center" wrapText="1"/>
    </xf>
    <xf numFmtId="165" fontId="50" fillId="0" borderId="12" xfId="1" applyFont="1" applyBorder="1" applyAlignment="1">
      <alignment horizontal="center" vertical="center" wrapText="1"/>
    </xf>
    <xf numFmtId="0" fontId="15" fillId="0" borderId="0" xfId="0" applyFont="1" applyAlignment="1">
      <alignment horizontal="center"/>
    </xf>
    <xf numFmtId="0" fontId="7" fillId="0" borderId="0" xfId="0" applyFont="1" applyAlignment="1">
      <alignment horizontal="center" vertical="center" wrapText="1"/>
    </xf>
    <xf numFmtId="0" fontId="6" fillId="0" borderId="19" xfId="0" applyFont="1" applyBorder="1" applyAlignment="1">
      <alignment horizontal="center"/>
    </xf>
    <xf numFmtId="0" fontId="6" fillId="0" borderId="0" xfId="0" applyFont="1" applyAlignment="1">
      <alignment horizontal="center"/>
    </xf>
    <xf numFmtId="0" fontId="6" fillId="0" borderId="20" xfId="0" applyFont="1" applyBorder="1" applyAlignment="1">
      <alignment horizontal="center"/>
    </xf>
    <xf numFmtId="0" fontId="13" fillId="0" borderId="19" xfId="0" applyFont="1" applyBorder="1" applyAlignment="1">
      <alignment horizontal="center"/>
    </xf>
    <xf numFmtId="0" fontId="13" fillId="0" borderId="0" xfId="0" applyFont="1" applyAlignment="1">
      <alignment horizontal="center"/>
    </xf>
    <xf numFmtId="0" fontId="13" fillId="0" borderId="20" xfId="0" applyFont="1" applyBorder="1" applyAlignment="1">
      <alignment horizontal="center"/>
    </xf>
    <xf numFmtId="0" fontId="21" fillId="0" borderId="19" xfId="0" applyFont="1" applyBorder="1" applyAlignment="1">
      <alignment horizontal="center"/>
    </xf>
    <xf numFmtId="0" fontId="21" fillId="0" borderId="0" xfId="0" applyFont="1" applyAlignment="1">
      <alignment horizontal="center"/>
    </xf>
    <xf numFmtId="0" fontId="21" fillId="0" borderId="20" xfId="0" applyFont="1" applyBorder="1" applyAlignment="1">
      <alignment horizontal="center"/>
    </xf>
    <xf numFmtId="0" fontId="10" fillId="0" borderId="11" xfId="0" applyFont="1" applyBorder="1" applyAlignment="1">
      <alignment horizontal="center"/>
    </xf>
    <xf numFmtId="0" fontId="10" fillId="0" borderId="13" xfId="0" applyFont="1" applyBorder="1" applyAlignment="1">
      <alignment horizontal="center"/>
    </xf>
    <xf numFmtId="0" fontId="10" fillId="0" borderId="4" xfId="0" applyFont="1" applyBorder="1" applyAlignment="1">
      <alignment horizontal="center"/>
    </xf>
    <xf numFmtId="0" fontId="10" fillId="0" borderId="5" xfId="0" applyFont="1" applyBorder="1" applyAlignment="1">
      <alignment horizontal="center"/>
    </xf>
    <xf numFmtId="0" fontId="46" fillId="4" borderId="42" xfId="0" applyFont="1" applyFill="1" applyBorder="1" applyAlignment="1">
      <alignment horizontal="center" vertical="center" wrapText="1"/>
    </xf>
    <xf numFmtId="0" fontId="23" fillId="4" borderId="43" xfId="0" applyFont="1" applyFill="1" applyBorder="1"/>
    <xf numFmtId="0" fontId="72" fillId="8" borderId="38" xfId="0" applyFont="1" applyFill="1" applyBorder="1" applyAlignment="1">
      <alignment horizontal="center" vertical="center" wrapText="1"/>
    </xf>
    <xf numFmtId="0" fontId="73" fillId="4" borderId="39" xfId="0" applyFont="1" applyFill="1" applyBorder="1"/>
    <xf numFmtId="2" fontId="50" fillId="2" borderId="21" xfId="1" applyNumberFormat="1" applyFont="1" applyFill="1" applyBorder="1" applyAlignment="1">
      <alignment horizontal="center" wrapText="1"/>
    </xf>
    <xf numFmtId="2" fontId="50" fillId="2" borderId="2" xfId="1" applyNumberFormat="1" applyFont="1" applyFill="1" applyBorder="1" applyAlignment="1">
      <alignment horizontal="center" wrapText="1"/>
    </xf>
    <xf numFmtId="2" fontId="50" fillId="2" borderId="22" xfId="1" applyNumberFormat="1" applyFont="1" applyFill="1" applyBorder="1" applyAlignment="1">
      <alignment horizontal="center" wrapText="1"/>
    </xf>
    <xf numFmtId="0" fontId="56" fillId="0" borderId="44" xfId="0" applyFont="1" applyBorder="1" applyAlignment="1">
      <alignment horizontal="center"/>
    </xf>
    <xf numFmtId="0" fontId="57" fillId="0" borderId="0" xfId="0" applyFont="1"/>
    <xf numFmtId="0" fontId="35" fillId="0" borderId="0" xfId="0" applyFont="1" applyAlignment="1">
      <alignment horizontal="center" wrapText="1"/>
    </xf>
    <xf numFmtId="0" fontId="0" fillId="0" borderId="0" xfId="0"/>
    <xf numFmtId="0" fontId="24" fillId="0" borderId="0" xfId="0" applyFont="1" applyAlignment="1">
      <alignment horizontal="center"/>
    </xf>
    <xf numFmtId="0" fontId="64" fillId="0" borderId="42" xfId="0" applyFont="1" applyBorder="1" applyAlignment="1">
      <alignment horizontal="center" wrapText="1"/>
    </xf>
    <xf numFmtId="0" fontId="61" fillId="0" borderId="43" xfId="0" applyFont="1" applyBorder="1"/>
    <xf numFmtId="0" fontId="31" fillId="0" borderId="0" xfId="0" applyFont="1" applyAlignment="1">
      <alignment horizontal="center" wrapText="1"/>
    </xf>
    <xf numFmtId="0" fontId="0" fillId="0" borderId="0" xfId="0" applyAlignment="1">
      <alignment horizontal="center" wrapText="1"/>
    </xf>
    <xf numFmtId="0" fontId="29" fillId="0" borderId="0" xfId="0" applyFont="1" applyAlignment="1">
      <alignment horizontal="center" wrapText="1"/>
    </xf>
    <xf numFmtId="0" fontId="25" fillId="6" borderId="36" xfId="0" applyFont="1" applyFill="1" applyBorder="1" applyAlignment="1">
      <alignment horizontal="center" vertical="center" wrapText="1"/>
    </xf>
    <xf numFmtId="0" fontId="23" fillId="0" borderId="40" xfId="0" applyFont="1" applyBorder="1"/>
    <xf numFmtId="0" fontId="25" fillId="6" borderId="37" xfId="0" applyFont="1" applyFill="1" applyBorder="1" applyAlignment="1">
      <alignment horizontal="center" vertical="center" wrapText="1"/>
    </xf>
    <xf numFmtId="0" fontId="25" fillId="6" borderId="38" xfId="0" applyFont="1" applyFill="1" applyBorder="1" applyAlignment="1">
      <alignment horizontal="center" vertical="center" wrapText="1"/>
    </xf>
    <xf numFmtId="0" fontId="23" fillId="0" borderId="39" xfId="0" applyFont="1" applyBorder="1"/>
    <xf numFmtId="0" fontId="27" fillId="0" borderId="42" xfId="0" applyFont="1" applyBorder="1" applyAlignment="1">
      <alignment horizontal="center" vertical="center" wrapText="1"/>
    </xf>
    <xf numFmtId="0" fontId="23" fillId="0" borderId="43" xfId="0" applyFont="1" applyBorder="1"/>
    <xf numFmtId="0" fontId="71" fillId="5" borderId="6" xfId="0" applyFont="1" applyFill="1" applyBorder="1" applyAlignment="1">
      <alignment horizontal="center" wrapText="1"/>
    </xf>
    <xf numFmtId="0" fontId="71" fillId="5" borderId="7" xfId="0" applyFont="1" applyFill="1" applyBorder="1" applyAlignment="1">
      <alignment horizontal="center" wrapText="1"/>
    </xf>
    <xf numFmtId="0" fontId="52" fillId="0" borderId="21" xfId="0" applyFont="1" applyBorder="1" applyAlignment="1">
      <alignment horizontal="center" vertical="center" wrapText="1"/>
    </xf>
    <xf numFmtId="0" fontId="52" fillId="0" borderId="22" xfId="0" applyFont="1" applyBorder="1" applyAlignment="1">
      <alignment horizontal="center" vertical="center" wrapText="1"/>
    </xf>
    <xf numFmtId="0" fontId="67" fillId="0" borderId="1" xfId="0" applyFont="1" applyBorder="1" applyAlignment="1">
      <alignment horizontal="left" wrapText="1"/>
    </xf>
    <xf numFmtId="0" fontId="41" fillId="0" borderId="0" xfId="0" applyFont="1" applyAlignment="1">
      <alignment horizontal="center"/>
    </xf>
    <xf numFmtId="0" fontId="41" fillId="0" borderId="0" xfId="0" applyFont="1" applyAlignment="1">
      <alignment horizontal="center" wrapText="1"/>
    </xf>
    <xf numFmtId="10" fontId="52" fillId="0" borderId="12" xfId="0" applyNumberFormat="1" applyFont="1" applyBorder="1" applyAlignment="1">
      <alignment horizontal="center"/>
    </xf>
    <xf numFmtId="0" fontId="70" fillId="0" borderId="12" xfId="0" applyFont="1" applyBorder="1" applyAlignment="1">
      <alignment horizontal="left" wrapText="1"/>
    </xf>
    <xf numFmtId="2" fontId="71" fillId="0" borderId="12" xfId="0" applyNumberFormat="1" applyFont="1" applyBorder="1" applyAlignment="1">
      <alignment horizontal="center"/>
    </xf>
    <xf numFmtId="0" fontId="71" fillId="0" borderId="57" xfId="0" applyFont="1" applyBorder="1" applyAlignment="1">
      <alignment horizontal="center"/>
    </xf>
    <xf numFmtId="0" fontId="71" fillId="0" borderId="3" xfId="0" applyFont="1" applyBorder="1" applyAlignment="1">
      <alignment horizontal="center"/>
    </xf>
    <xf numFmtId="0" fontId="71" fillId="0" borderId="13" xfId="0" applyFont="1" applyBorder="1" applyAlignment="1">
      <alignment horizontal="center"/>
    </xf>
    <xf numFmtId="0" fontId="40" fillId="0" borderId="0" xfId="0" applyFont="1" applyAlignment="1">
      <alignment horizontal="center" wrapText="1"/>
    </xf>
    <xf numFmtId="0" fontId="39" fillId="0" borderId="0" xfId="0" applyFont="1" applyAlignment="1">
      <alignment horizontal="center"/>
    </xf>
    <xf numFmtId="0" fontId="36" fillId="0" borderId="0" xfId="0" applyFont="1" applyAlignment="1">
      <alignment horizontal="center"/>
    </xf>
    <xf numFmtId="4" fontId="74" fillId="0" borderId="0" xfId="0" applyNumberFormat="1" applyFont="1" applyAlignment="1">
      <alignment horizontal="center"/>
    </xf>
    <xf numFmtId="0" fontId="71" fillId="0" borderId="0" xfId="0" applyFont="1"/>
    <xf numFmtId="0" fontId="39" fillId="0" borderId="0" xfId="0" applyFont="1" applyAlignment="1">
      <alignment horizontal="center" wrapText="1"/>
    </xf>
  </cellXfs>
  <cellStyles count="3">
    <cellStyle name="Comma" xfId="1" builtinId="3"/>
    <cellStyle name="Normal" xfId="0" builtinId="0"/>
    <cellStyle name="Normal 2" xfId="2" xr:uid="{00000000-0005-0000-0000-000002000000}"/>
  </cellStyles>
  <dxfs count="2">
    <dxf>
      <font>
        <color rgb="FFFF0000"/>
      </font>
      <fill>
        <patternFill patternType="none"/>
      </fill>
    </dxf>
    <dxf>
      <font>
        <color rgb="FFFF0000"/>
      </font>
      <fill>
        <patternFill patternType="none"/>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mp3\my%20documents\Clients\Group%20Clients\Bhandari%20Shantilal%20Zumberlal%20Group\Shanti%20Metals\2007-08\Project%20reports\ANUJA%20ENGG.-PROJECT%20REPORT-APR.2007\Anuja%20Engg%20project%20report%20revised-23.04.20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ffice/Rahul%20Lakhe%20&amp;%20Associates/Company/SEWARTH%20SHETKARI/Project%20Report/IN%20SMART%20FORMAT/Sasai/DPR_Shri%20Rasai%20Devi%20Agro%20Prod%20Com%20Ltd%20Smart%20Proje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 of project"/>
      <sheetName val="profitability"/>
      <sheetName val="balance sheet"/>
      <sheetName val="assmt WC"/>
      <sheetName val="cash flow"/>
      <sheetName val="depreciation"/>
      <sheetName val="Ratios"/>
      <sheetName val="log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 for users"/>
      <sheetName val="Assumptions"/>
      <sheetName val="1.Project Cost and MOF"/>
      <sheetName val="2.Capex Details"/>
      <sheetName val="3.Other Exp &amp; Taxes"/>
      <sheetName val="4.TL repayment sch"/>
      <sheetName val="5.Closing Stock &amp; W Capital"/>
      <sheetName val="6.Cons Profit &amp; Loss"/>
      <sheetName val="7.Balance Sheet"/>
      <sheetName val="8.Cash Flow "/>
      <sheetName val="9. Financial indiacators"/>
      <sheetName val="10.Grain Production details"/>
      <sheetName val="11.F&amp;V Crop Production details"/>
      <sheetName val="12.Facility 1 - Trading"/>
      <sheetName val="13.Facility 2 Grain Processing"/>
      <sheetName val="14. Facility 3 Warehouse"/>
      <sheetName val="15. Facility 4 Custom Hiring"/>
      <sheetName val="16.Facility 5 Agri Input"/>
      <sheetName val="10. Breeder Farm pullet sale"/>
      <sheetName val="11. Egg Trading"/>
      <sheetName val="12 Breeder Farm Pullet prodn"/>
      <sheetName val="13 Egg prodn at farmer"/>
      <sheetName val="14 Input "/>
    </sheetNames>
    <sheetDataSet>
      <sheetData sheetId="0" refreshError="1"/>
      <sheetData sheetId="1">
        <row r="71">
          <cell r="C71">
            <v>0.04</v>
          </cell>
        </row>
      </sheetData>
      <sheetData sheetId="2">
        <row r="24">
          <cell r="E24">
            <v>9752798.1896438356</v>
          </cell>
        </row>
      </sheetData>
      <sheetData sheetId="3" refreshError="1"/>
      <sheetData sheetId="4">
        <row r="70">
          <cell r="C70">
            <v>8254879.8599999994</v>
          </cell>
          <cell r="D70">
            <v>7798959.7199999997</v>
          </cell>
          <cell r="E70">
            <v>7343039.5800000001</v>
          </cell>
        </row>
      </sheetData>
      <sheetData sheetId="5">
        <row r="24">
          <cell r="G24">
            <v>3450539.9994959892</v>
          </cell>
        </row>
        <row r="36">
          <cell r="G36">
            <v>3319163.5901189349</v>
          </cell>
        </row>
        <row r="48">
          <cell r="G48">
            <v>2756171.242192768</v>
          </cell>
        </row>
      </sheetData>
      <sheetData sheetId="6"/>
      <sheetData sheetId="7">
        <row r="8">
          <cell r="A8" t="str">
            <v>Faclitiy 5 - Egg Trading</v>
          </cell>
        </row>
      </sheetData>
      <sheetData sheetId="8" refreshError="1"/>
      <sheetData sheetId="9">
        <row r="23">
          <cell r="C23">
            <v>1265000</v>
          </cell>
        </row>
        <row r="25">
          <cell r="C25">
            <v>0</v>
          </cell>
          <cell r="D25">
            <v>0</v>
          </cell>
        </row>
      </sheetData>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nvestopedia.com/terms/d/discountrate.asp"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M52"/>
  <sheetViews>
    <sheetView view="pageBreakPreview" topLeftCell="A16" zoomScale="60" zoomScaleNormal="60" workbookViewId="0">
      <selection activeCell="B30" sqref="B30:F30"/>
    </sheetView>
  </sheetViews>
  <sheetFormatPr defaultColWidth="12.6640625" defaultRowHeight="13.8" x14ac:dyDescent="0.3"/>
  <cols>
    <col min="1" max="1" width="14.88671875" style="5" customWidth="1"/>
    <col min="2" max="2" width="14.109375" style="5" customWidth="1"/>
    <col min="3" max="3" width="16.33203125" style="5" customWidth="1"/>
    <col min="4" max="6" width="12.6640625" style="5" customWidth="1"/>
    <col min="7" max="7" width="7.44140625" style="5" customWidth="1"/>
    <col min="8" max="16384" width="12.6640625" style="5"/>
  </cols>
  <sheetData>
    <row r="5" spans="1:13" ht="14.4" thickBot="1" x14ac:dyDescent="0.35"/>
    <row r="6" spans="1:13" x14ac:dyDescent="0.3">
      <c r="A6" s="6"/>
      <c r="B6" s="7"/>
      <c r="C6" s="7"/>
      <c r="D6" s="7"/>
      <c r="E6" s="7"/>
      <c r="F6" s="7"/>
      <c r="G6" s="8"/>
    </row>
    <row r="7" spans="1:13" x14ac:dyDescent="0.3">
      <c r="A7" s="9"/>
      <c r="G7" s="10"/>
    </row>
    <row r="8" spans="1:13" x14ac:dyDescent="0.3">
      <c r="A8" s="9"/>
      <c r="G8" s="10"/>
    </row>
    <row r="9" spans="1:13" x14ac:dyDescent="0.3">
      <c r="A9" s="9"/>
      <c r="G9" s="10"/>
    </row>
    <row r="10" spans="1:13" ht="28.8" x14ac:dyDescent="0.55000000000000004">
      <c r="A10" s="621" t="s">
        <v>14</v>
      </c>
      <c r="B10" s="622"/>
      <c r="C10" s="622"/>
      <c r="D10" s="622"/>
      <c r="E10" s="622"/>
      <c r="F10" s="622"/>
      <c r="G10" s="623"/>
      <c r="I10" s="11"/>
      <c r="J10" s="11"/>
      <c r="K10" s="11"/>
      <c r="L10" s="11"/>
      <c r="M10" s="11"/>
    </row>
    <row r="11" spans="1:13" x14ac:dyDescent="0.3">
      <c r="A11" s="9"/>
      <c r="G11" s="10"/>
    </row>
    <row r="12" spans="1:13" x14ac:dyDescent="0.3">
      <c r="A12" s="9"/>
      <c r="G12" s="10"/>
    </row>
    <row r="13" spans="1:13" ht="23.4" x14ac:dyDescent="0.45">
      <c r="A13" s="624" t="e">
        <f>+'7. depreciation'!#REF!</f>
        <v>#REF!</v>
      </c>
      <c r="B13" s="625"/>
      <c r="C13" s="625"/>
      <c r="D13" s="625"/>
      <c r="E13" s="625"/>
      <c r="F13" s="625"/>
      <c r="G13" s="626"/>
    </row>
    <row r="14" spans="1:13" ht="25.8" x14ac:dyDescent="0.5">
      <c r="A14" s="12"/>
      <c r="B14" s="13"/>
      <c r="C14" s="13"/>
      <c r="D14" s="13"/>
      <c r="E14" s="13"/>
      <c r="F14" s="13"/>
      <c r="G14" s="14"/>
    </row>
    <row r="15" spans="1:13" ht="21" x14ac:dyDescent="0.4">
      <c r="A15" s="9"/>
      <c r="B15" s="15" t="s">
        <v>38</v>
      </c>
      <c r="C15" s="2" t="e">
        <f>+#REF!</f>
        <v>#REF!</v>
      </c>
      <c r="D15" s="16"/>
      <c r="G15" s="10"/>
    </row>
    <row r="16" spans="1:13" ht="21" x14ac:dyDescent="0.4">
      <c r="A16" s="9"/>
      <c r="B16" s="17"/>
      <c r="C16" s="2" t="e">
        <f>+#REF!</f>
        <v>#REF!</v>
      </c>
      <c r="E16" s="17"/>
      <c r="F16" s="17"/>
      <c r="G16" s="18"/>
    </row>
    <row r="17" spans="1:7" ht="21" x14ac:dyDescent="0.4">
      <c r="A17" s="9"/>
      <c r="C17" s="2" t="e">
        <f>+#REF!</f>
        <v>#REF!</v>
      </c>
      <c r="F17" s="17"/>
      <c r="G17" s="18"/>
    </row>
    <row r="18" spans="1:7" ht="15.6" x14ac:dyDescent="0.3">
      <c r="A18" s="19"/>
      <c r="B18" s="20"/>
      <c r="C18" s="20"/>
      <c r="D18" s="20"/>
      <c r="E18" s="20"/>
      <c r="F18" s="20"/>
      <c r="G18" s="21"/>
    </row>
    <row r="19" spans="1:7" ht="21" x14ac:dyDescent="0.4">
      <c r="A19" s="618" t="s">
        <v>15</v>
      </c>
      <c r="B19" s="619"/>
      <c r="C19" s="619"/>
      <c r="D19" s="619"/>
      <c r="E19" s="619"/>
      <c r="F19" s="619"/>
      <c r="G19" s="620"/>
    </row>
    <row r="20" spans="1:7" s="3" customFormat="1" ht="15.6" x14ac:dyDescent="0.3">
      <c r="A20" s="22"/>
      <c r="G20" s="23"/>
    </row>
    <row r="21" spans="1:7" s="3" customFormat="1" ht="21" x14ac:dyDescent="0.4">
      <c r="A21" s="22"/>
      <c r="B21" s="24">
        <v>1</v>
      </c>
      <c r="C21" s="24" t="s">
        <v>16</v>
      </c>
      <c r="G21" s="23"/>
    </row>
    <row r="22" spans="1:7" s="3" customFormat="1" ht="21" x14ac:dyDescent="0.4">
      <c r="A22" s="22"/>
      <c r="B22" s="24">
        <f>B21+1</f>
        <v>2</v>
      </c>
      <c r="C22" s="24" t="s">
        <v>17</v>
      </c>
      <c r="G22" s="23"/>
    </row>
    <row r="23" spans="1:7" s="3" customFormat="1" ht="21" x14ac:dyDescent="0.4">
      <c r="A23" s="22"/>
      <c r="B23" s="24">
        <v>3</v>
      </c>
      <c r="C23" s="24" t="s">
        <v>18</v>
      </c>
      <c r="G23" s="23"/>
    </row>
    <row r="24" spans="1:7" s="3" customFormat="1" ht="21" x14ac:dyDescent="0.4">
      <c r="A24" s="22"/>
      <c r="B24" s="24">
        <f t="shared" ref="B24" si="0">B23+1</f>
        <v>4</v>
      </c>
      <c r="C24" s="24" t="e">
        <f>+#REF!</f>
        <v>#REF!</v>
      </c>
      <c r="G24" s="23"/>
    </row>
    <row r="25" spans="1:7" s="3" customFormat="1" ht="21" x14ac:dyDescent="0.4">
      <c r="A25" s="22"/>
      <c r="B25" s="24">
        <v>5</v>
      </c>
      <c r="C25" s="24" t="e">
        <f>+#REF!</f>
        <v>#REF!</v>
      </c>
      <c r="G25" s="23"/>
    </row>
    <row r="26" spans="1:7" s="3" customFormat="1" ht="21" x14ac:dyDescent="0.4">
      <c r="A26" s="22"/>
      <c r="B26" s="24">
        <v>6</v>
      </c>
      <c r="C26" s="24" t="s">
        <v>7</v>
      </c>
      <c r="G26" s="23"/>
    </row>
    <row r="27" spans="1:7" s="3" customFormat="1" ht="21" x14ac:dyDescent="0.4">
      <c r="A27" s="22"/>
      <c r="B27" s="24"/>
      <c r="C27" s="24"/>
      <c r="G27" s="23"/>
    </row>
    <row r="28" spans="1:7" s="3" customFormat="1" ht="21" x14ac:dyDescent="0.4">
      <c r="A28" s="22"/>
      <c r="B28" s="24"/>
      <c r="C28" s="24"/>
      <c r="G28" s="23"/>
    </row>
    <row r="29" spans="1:7" s="3" customFormat="1" ht="21" x14ac:dyDescent="0.4">
      <c r="A29" s="22"/>
      <c r="B29" s="24"/>
      <c r="C29" s="24"/>
      <c r="G29" s="23"/>
    </row>
    <row r="30" spans="1:7" s="3" customFormat="1" ht="21" x14ac:dyDescent="0.4">
      <c r="A30" s="22"/>
      <c r="B30" s="616"/>
      <c r="C30" s="616"/>
      <c r="D30" s="616"/>
      <c r="E30" s="616"/>
      <c r="F30" s="616"/>
      <c r="G30" s="23"/>
    </row>
    <row r="31" spans="1:7" s="3" customFormat="1" ht="63.75" customHeight="1" x14ac:dyDescent="0.3">
      <c r="A31" s="22"/>
      <c r="B31" s="617"/>
      <c r="C31" s="617"/>
      <c r="D31" s="617"/>
      <c r="E31" s="617"/>
      <c r="F31" s="617"/>
      <c r="G31" s="23"/>
    </row>
    <row r="32" spans="1:7" s="3" customFormat="1" ht="21" x14ac:dyDescent="0.4">
      <c r="A32" s="22"/>
      <c r="B32" s="24"/>
      <c r="C32" s="24"/>
      <c r="G32" s="23"/>
    </row>
    <row r="33" spans="1:7" s="3" customFormat="1" ht="21.6" thickBot="1" x14ac:dyDescent="0.45">
      <c r="A33" s="25"/>
      <c r="B33" s="26"/>
      <c r="C33" s="26"/>
      <c r="D33" s="26"/>
      <c r="E33" s="26"/>
      <c r="F33" s="26"/>
      <c r="G33" s="27"/>
    </row>
    <row r="34" spans="1:7" s="3" customFormat="1" ht="15.6" x14ac:dyDescent="0.3"/>
    <row r="35" spans="1:7" s="3" customFormat="1" ht="15.6" x14ac:dyDescent="0.3"/>
    <row r="36" spans="1:7" s="3" customFormat="1" ht="15.6" x14ac:dyDescent="0.3"/>
    <row r="37" spans="1:7" s="3" customFormat="1" ht="15.6" x14ac:dyDescent="0.3"/>
    <row r="38" spans="1:7" s="3" customFormat="1" ht="15.6" x14ac:dyDescent="0.3"/>
    <row r="39" spans="1:7" s="3" customFormat="1" ht="15.6" x14ac:dyDescent="0.3"/>
    <row r="40" spans="1:7" s="3" customFormat="1" ht="15.6" x14ac:dyDescent="0.3"/>
    <row r="41" spans="1:7" s="3" customFormat="1" ht="15.6" x14ac:dyDescent="0.3"/>
    <row r="42" spans="1:7" s="3" customFormat="1" ht="15.6" x14ac:dyDescent="0.3"/>
    <row r="43" spans="1:7" s="3" customFormat="1" ht="15.6" x14ac:dyDescent="0.3"/>
    <row r="44" spans="1:7" s="3" customFormat="1" ht="15.6" x14ac:dyDescent="0.3"/>
    <row r="45" spans="1:7" s="3" customFormat="1" ht="15.6" x14ac:dyDescent="0.3"/>
    <row r="46" spans="1:7" s="3" customFormat="1" ht="15.6" x14ac:dyDescent="0.3"/>
    <row r="47" spans="1:7" s="3" customFormat="1" ht="15.6" x14ac:dyDescent="0.3"/>
    <row r="48" spans="1:7" s="3" customFormat="1" ht="15.6" x14ac:dyDescent="0.3"/>
    <row r="49" spans="3:3" s="3" customFormat="1" ht="15.6" x14ac:dyDescent="0.3"/>
    <row r="50" spans="3:3" ht="15.6" x14ac:dyDescent="0.3">
      <c r="C50" s="3"/>
    </row>
    <row r="51" spans="3:3" ht="15.6" x14ac:dyDescent="0.3">
      <c r="C51" s="3"/>
    </row>
    <row r="52" spans="3:3" ht="15.6" x14ac:dyDescent="0.3">
      <c r="C52" s="3"/>
    </row>
  </sheetData>
  <mergeCells count="5">
    <mergeCell ref="B30:F30"/>
    <mergeCell ref="B31:F31"/>
    <mergeCell ref="A19:G19"/>
    <mergeCell ref="A10:G10"/>
    <mergeCell ref="A13:G13"/>
  </mergeCells>
  <phoneticPr fontId="0" type="noConversion"/>
  <printOptions horizontalCentered="1"/>
  <pageMargins left="0.5" right="0.5" top="1.41" bottom="0.5" header="0" footer="0"/>
  <pageSetup paperSize="9" scale="9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30"/>
  <sheetViews>
    <sheetView zoomScale="90" zoomScaleNormal="90" zoomScaleSheetLayoutView="65" workbookViewId="0">
      <selection activeCell="H9" sqref="H9"/>
    </sheetView>
  </sheetViews>
  <sheetFormatPr defaultColWidth="12.6640625" defaultRowHeight="21.15" customHeight="1" x14ac:dyDescent="0.4"/>
  <cols>
    <col min="1" max="1" width="47" style="30" bestFit="1" customWidth="1"/>
    <col min="2" max="2" width="9.44140625" style="29" hidden="1" customWidth="1"/>
    <col min="3" max="3" width="11.109375" style="29" hidden="1" customWidth="1"/>
    <col min="4" max="4" width="24.109375" style="29" hidden="1" customWidth="1"/>
    <col min="5" max="5" width="12.109375" style="29" hidden="1" customWidth="1"/>
    <col min="6" max="6" width="12.44140625" style="29" hidden="1" customWidth="1"/>
    <col min="7" max="7" width="13.33203125" style="29" hidden="1" customWidth="1"/>
    <col min="8" max="12" width="15.6640625" style="30" customWidth="1"/>
    <col min="13" max="16384" width="12.6640625" style="28"/>
  </cols>
  <sheetData>
    <row r="1" spans="1:12" ht="21.15" customHeight="1" x14ac:dyDescent="0.4">
      <c r="A1" s="34" t="e">
        <f>+#REF!</f>
        <v>#REF!</v>
      </c>
    </row>
    <row r="2" spans="1:12" ht="21.15" customHeight="1" x14ac:dyDescent="0.4">
      <c r="A2" s="34" t="e">
        <f>#REF!</f>
        <v>#REF!</v>
      </c>
    </row>
    <row r="3" spans="1:12" ht="21.15" customHeight="1" x14ac:dyDescent="0.4">
      <c r="A3" s="35" t="e">
        <f>'4. balance sheet'!#REF!</f>
        <v>#REF!</v>
      </c>
    </row>
    <row r="4" spans="1:12" ht="21.15" customHeight="1" x14ac:dyDescent="0.4">
      <c r="A4" s="35" t="e">
        <f>'4. balance sheet'!#REF!</f>
        <v>#REF!</v>
      </c>
    </row>
    <row r="5" spans="1:12" ht="21.15" customHeight="1" x14ac:dyDescent="0.4">
      <c r="G5" s="85"/>
      <c r="H5" s="85"/>
      <c r="I5" s="85"/>
      <c r="J5" s="85"/>
      <c r="K5" s="85"/>
      <c r="L5" s="85"/>
    </row>
    <row r="6" spans="1:12" ht="21.15" customHeight="1" x14ac:dyDescent="0.4">
      <c r="A6" s="34" t="s">
        <v>36</v>
      </c>
      <c r="G6" s="85">
        <v>70740.083333333256</v>
      </c>
      <c r="H6" s="85">
        <v>7216.0297166664386</v>
      </c>
      <c r="I6" s="85">
        <v>27133.585738333059</v>
      </c>
      <c r="J6" s="85">
        <v>82049.87836216623</v>
      </c>
      <c r="K6" s="85">
        <v>119221.23178171617</v>
      </c>
      <c r="L6" s="85">
        <v>220394.59636073327</v>
      </c>
    </row>
    <row r="7" spans="1:12" ht="21.15" customHeight="1" x14ac:dyDescent="0.4">
      <c r="B7" s="31" t="s">
        <v>13</v>
      </c>
      <c r="C7" s="29" t="s">
        <v>12</v>
      </c>
      <c r="K7" s="30" t="s">
        <v>110</v>
      </c>
      <c r="L7" s="29"/>
    </row>
    <row r="8" spans="1:12" ht="21.15" customHeight="1" x14ac:dyDescent="0.4">
      <c r="A8" s="34"/>
      <c r="E8" s="36"/>
      <c r="F8" s="36"/>
      <c r="G8" s="31" t="s">
        <v>71</v>
      </c>
      <c r="H8" s="31" t="s">
        <v>3</v>
      </c>
      <c r="I8" s="31" t="s">
        <v>3</v>
      </c>
      <c r="J8" s="31" t="s">
        <v>3</v>
      </c>
      <c r="K8" s="31" t="s">
        <v>3</v>
      </c>
      <c r="L8" s="31" t="s">
        <v>3</v>
      </c>
    </row>
    <row r="9" spans="1:12" ht="21.15" customHeight="1" x14ac:dyDescent="0.4">
      <c r="A9" s="37" t="s">
        <v>0</v>
      </c>
      <c r="B9" s="32"/>
      <c r="C9" s="32"/>
      <c r="D9" s="38" t="s">
        <v>34</v>
      </c>
      <c r="E9" s="39" t="s">
        <v>4</v>
      </c>
      <c r="F9" s="39" t="s">
        <v>4</v>
      </c>
      <c r="G9" s="39" t="s">
        <v>4</v>
      </c>
      <c r="H9" s="39" t="s">
        <v>4</v>
      </c>
      <c r="I9" s="39" t="s">
        <v>4</v>
      </c>
      <c r="J9" s="39" t="s">
        <v>4</v>
      </c>
      <c r="K9" s="39" t="s">
        <v>4</v>
      </c>
      <c r="L9" s="39" t="s">
        <v>4</v>
      </c>
    </row>
    <row r="10" spans="1:12" ht="21.15" customHeight="1" x14ac:dyDescent="0.4">
      <c r="A10" s="40"/>
      <c r="D10" s="33"/>
      <c r="E10" s="41">
        <v>38807</v>
      </c>
      <c r="F10" s="41">
        <v>43190</v>
      </c>
      <c r="G10" s="60">
        <v>43555</v>
      </c>
      <c r="H10" s="60">
        <v>43921</v>
      </c>
      <c r="I10" s="60">
        <v>44286</v>
      </c>
      <c r="J10" s="60">
        <v>44651</v>
      </c>
      <c r="K10" s="60">
        <v>45016</v>
      </c>
      <c r="L10" s="60">
        <v>45382</v>
      </c>
    </row>
    <row r="11" spans="1:12" ht="21.15" customHeight="1" x14ac:dyDescent="0.4">
      <c r="A11" s="42"/>
      <c r="B11" s="32"/>
      <c r="C11" s="32"/>
      <c r="D11" s="43"/>
      <c r="E11" s="44"/>
      <c r="F11" s="45"/>
      <c r="G11" s="45"/>
      <c r="H11" s="45"/>
      <c r="I11" s="45"/>
      <c r="J11" s="45"/>
      <c r="K11" s="45"/>
      <c r="L11" s="45"/>
    </row>
    <row r="12" spans="1:12" ht="21.15" customHeight="1" x14ac:dyDescent="0.4">
      <c r="A12" s="40" t="s">
        <v>5</v>
      </c>
      <c r="D12" s="33"/>
      <c r="E12" s="46"/>
      <c r="F12" s="47"/>
      <c r="G12" s="47"/>
      <c r="H12" s="47"/>
      <c r="I12" s="47"/>
      <c r="J12" s="47"/>
      <c r="K12" s="47"/>
      <c r="L12" s="47"/>
    </row>
    <row r="13" spans="1:12" ht="21.15" customHeight="1" x14ac:dyDescent="0.4">
      <c r="A13" s="48" t="s">
        <v>32</v>
      </c>
      <c r="D13" s="49" t="s">
        <v>35</v>
      </c>
      <c r="E13" s="46"/>
      <c r="F13" s="47"/>
      <c r="G13" s="47">
        <f>'3. profitability'!D9/360*30</f>
        <v>16666.666666666668</v>
      </c>
      <c r="H13" s="47">
        <f>'3. profitability'!E9/28</f>
        <v>0</v>
      </c>
      <c r="I13" s="47">
        <f>'3. profitability'!F9/12</f>
        <v>4811400</v>
      </c>
      <c r="J13" s="47">
        <f>'3. profitability'!G9/12</f>
        <v>5248800</v>
      </c>
      <c r="K13" s="47">
        <f>'3. profitability'!H9/12</f>
        <v>5686200</v>
      </c>
      <c r="L13" s="47">
        <f>'3. profitability'!I9/12</f>
        <v>6123600</v>
      </c>
    </row>
    <row r="14" spans="1:12" ht="21.15" customHeight="1" x14ac:dyDescent="0.4">
      <c r="A14" s="48" t="s">
        <v>53</v>
      </c>
      <c r="B14" s="30"/>
      <c r="C14" s="30"/>
      <c r="D14" s="30"/>
      <c r="E14" s="30"/>
      <c r="F14" s="47"/>
      <c r="G14" s="47">
        <v>0</v>
      </c>
      <c r="H14" s="47">
        <f>+'3. profitability'!E30*15%</f>
        <v>675</v>
      </c>
      <c r="I14" s="47">
        <f>+'3. profitability'!F30*15%</f>
        <v>1350</v>
      </c>
      <c r="J14" s="47">
        <f>+'3. profitability'!G30*15%</f>
        <v>2025</v>
      </c>
      <c r="K14" s="47">
        <f>+'3. profitability'!H30*15%</f>
        <v>4050</v>
      </c>
      <c r="L14" s="47">
        <f>+'3. profitability'!I30*15%</f>
        <v>12150</v>
      </c>
    </row>
    <row r="15" spans="1:12" ht="21.15" customHeight="1" x14ac:dyDescent="0.4">
      <c r="A15" s="48" t="s">
        <v>54</v>
      </c>
      <c r="D15" s="33"/>
      <c r="E15" s="46"/>
      <c r="F15" s="47"/>
      <c r="G15" s="47"/>
      <c r="H15" s="47"/>
      <c r="I15" s="47"/>
      <c r="J15" s="47"/>
      <c r="K15" s="47"/>
      <c r="L15" s="47"/>
    </row>
    <row r="16" spans="1:12" ht="21.15" customHeight="1" x14ac:dyDescent="0.4">
      <c r="A16" s="48" t="s">
        <v>60</v>
      </c>
      <c r="D16" s="33"/>
      <c r="E16" s="46"/>
      <c r="F16" s="47"/>
      <c r="G16" s="47">
        <v>0</v>
      </c>
      <c r="H16" s="47">
        <f t="shared" ref="H16:L16" si="0">G16*110%</f>
        <v>0</v>
      </c>
      <c r="I16" s="47">
        <f t="shared" si="0"/>
        <v>0</v>
      </c>
      <c r="J16" s="47">
        <f t="shared" si="0"/>
        <v>0</v>
      </c>
      <c r="K16" s="47">
        <f t="shared" si="0"/>
        <v>0</v>
      </c>
      <c r="L16" s="47">
        <f t="shared" si="0"/>
        <v>0</v>
      </c>
    </row>
    <row r="17" spans="1:12" ht="21.15" customHeight="1" x14ac:dyDescent="0.4">
      <c r="A17" s="50" t="s">
        <v>61</v>
      </c>
      <c r="B17" s="51"/>
      <c r="C17" s="51"/>
      <c r="D17" s="52"/>
      <c r="E17" s="53"/>
      <c r="F17" s="54"/>
      <c r="G17" s="87">
        <f>45600-25657</f>
        <v>19943</v>
      </c>
      <c r="H17" s="54">
        <v>150000</v>
      </c>
      <c r="I17" s="54">
        <f>H17*110%</f>
        <v>165000</v>
      </c>
      <c r="J17" s="59">
        <f>I17*110%</f>
        <v>181500.00000000003</v>
      </c>
      <c r="K17" s="54">
        <f t="shared" ref="K17:L17" si="1">J17*110%</f>
        <v>199650.00000000006</v>
      </c>
      <c r="L17" s="54">
        <f t="shared" si="1"/>
        <v>219615.00000000009</v>
      </c>
    </row>
    <row r="18" spans="1:12" ht="21.15" customHeight="1" x14ac:dyDescent="0.4">
      <c r="A18" s="55" t="s">
        <v>6</v>
      </c>
      <c r="B18" s="56">
        <f>SUM(B11:B17)</f>
        <v>0</v>
      </c>
      <c r="C18" s="56">
        <f>SUM(C11:C17)</f>
        <v>0</v>
      </c>
      <c r="D18" s="57"/>
      <c r="E18" s="57">
        <f>SUM(E11:E17)</f>
        <v>0</v>
      </c>
      <c r="F18" s="62"/>
      <c r="G18" s="62">
        <f>SUM(G13:G17)</f>
        <v>36609.666666666672</v>
      </c>
      <c r="H18" s="62">
        <f>SUM(H13:H17)</f>
        <v>150675</v>
      </c>
      <c r="I18" s="62">
        <f t="shared" ref="I18:L18" si="2">SUM(I13:I17)</f>
        <v>4977750</v>
      </c>
      <c r="J18" s="62">
        <f t="shared" si="2"/>
        <v>5432325</v>
      </c>
      <c r="K18" s="62">
        <f t="shared" si="2"/>
        <v>5889900</v>
      </c>
      <c r="L18" s="62">
        <f t="shared" si="2"/>
        <v>6355365</v>
      </c>
    </row>
    <row r="19" spans="1:12" ht="21.15" customHeight="1" x14ac:dyDescent="0.4">
      <c r="A19" s="46"/>
      <c r="D19" s="33"/>
      <c r="E19" s="47"/>
      <c r="F19" s="45"/>
      <c r="G19" s="45">
        <v>0</v>
      </c>
      <c r="H19" s="45">
        <f t="shared" ref="H19:L19" si="3">H18-G18</f>
        <v>114065.33333333333</v>
      </c>
      <c r="I19" s="45">
        <f t="shared" si="3"/>
        <v>4827075</v>
      </c>
      <c r="J19" s="45">
        <f t="shared" si="3"/>
        <v>454575</v>
      </c>
      <c r="K19" s="45">
        <f t="shared" si="3"/>
        <v>457575</v>
      </c>
      <c r="L19" s="45">
        <f t="shared" si="3"/>
        <v>465465</v>
      </c>
    </row>
    <row r="20" spans="1:12" ht="21.15" customHeight="1" x14ac:dyDescent="0.4">
      <c r="A20" s="40" t="s">
        <v>43</v>
      </c>
      <c r="D20" s="33"/>
      <c r="E20" s="47"/>
      <c r="F20" s="47"/>
      <c r="G20" s="47"/>
      <c r="H20" s="47"/>
      <c r="I20" s="47"/>
      <c r="J20" s="47"/>
      <c r="K20" s="47"/>
      <c r="L20" s="47"/>
    </row>
    <row r="21" spans="1:12" ht="21.15" customHeight="1" x14ac:dyDescent="0.4">
      <c r="A21" s="48" t="s">
        <v>55</v>
      </c>
      <c r="D21" s="33"/>
      <c r="E21" s="47"/>
      <c r="F21" s="86"/>
      <c r="G21" s="47">
        <f>'3. profitability'!D27/360*30</f>
        <v>0</v>
      </c>
      <c r="H21" s="47">
        <f>+'3. profitability'!E33/30</f>
        <v>16983.370112153974</v>
      </c>
      <c r="I21" s="47">
        <f>+'3. profitability'!F33/30</f>
        <v>323648.34056447685</v>
      </c>
      <c r="J21" s="47">
        <f>+'3. profitability'!G33/30</f>
        <v>420802.48982828524</v>
      </c>
      <c r="K21" s="47">
        <f>+'3. profitability'!H33/30</f>
        <v>592588.04392991809</v>
      </c>
      <c r="L21" s="47">
        <f>+'3. profitability'!I33/30</f>
        <v>776752.32381206029</v>
      </c>
    </row>
    <row r="22" spans="1:12" ht="21.15" customHeight="1" x14ac:dyDescent="0.4">
      <c r="A22" s="48" t="s">
        <v>59</v>
      </c>
      <c r="D22" s="33"/>
      <c r="E22" s="47"/>
      <c r="F22" s="47"/>
      <c r="G22" s="47"/>
      <c r="H22" s="61"/>
      <c r="I22" s="61"/>
      <c r="J22" s="61"/>
      <c r="K22" s="61"/>
      <c r="L22" s="61"/>
    </row>
    <row r="23" spans="1:12" ht="21.15" customHeight="1" x14ac:dyDescent="0.4">
      <c r="A23" s="48" t="s">
        <v>56</v>
      </c>
      <c r="D23" s="33"/>
      <c r="E23" s="47"/>
      <c r="F23" s="47"/>
      <c r="G23" s="47">
        <v>0</v>
      </c>
      <c r="H23" s="47">
        <v>0</v>
      </c>
      <c r="I23" s="47">
        <v>0</v>
      </c>
      <c r="J23" s="47">
        <v>0</v>
      </c>
      <c r="K23" s="47">
        <v>0</v>
      </c>
      <c r="L23" s="47">
        <v>0</v>
      </c>
    </row>
    <row r="24" spans="1:12" ht="21.15" customHeight="1" x14ac:dyDescent="0.4">
      <c r="A24" s="48"/>
      <c r="D24" s="33"/>
      <c r="E24" s="47"/>
      <c r="F24" s="47"/>
      <c r="G24" s="54"/>
      <c r="H24" s="54"/>
      <c r="I24" s="54"/>
      <c r="J24" s="54"/>
      <c r="K24" s="54"/>
      <c r="L24" s="54"/>
    </row>
    <row r="25" spans="1:12" ht="21.15" customHeight="1" x14ac:dyDescent="0.4">
      <c r="A25" s="55" t="s">
        <v>37</v>
      </c>
      <c r="B25" s="56">
        <f>SUM(B19:B24)</f>
        <v>0</v>
      </c>
      <c r="C25" s="56">
        <f>SUM(C19:C24)</f>
        <v>0</v>
      </c>
      <c r="D25" s="57"/>
      <c r="E25" s="57">
        <f>SUM(E24:E24)</f>
        <v>0</v>
      </c>
      <c r="F25" s="58"/>
      <c r="G25" s="58">
        <f>SUM(G21:G24)</f>
        <v>0</v>
      </c>
      <c r="H25" s="58">
        <f t="shared" ref="H25:K25" si="4">SUM(H21:H24)</f>
        <v>16983.370112153974</v>
      </c>
      <c r="I25" s="58">
        <f t="shared" si="4"/>
        <v>323648.34056447685</v>
      </c>
      <c r="J25" s="58">
        <f t="shared" si="4"/>
        <v>420802.48982828524</v>
      </c>
      <c r="K25" s="58">
        <f t="shared" si="4"/>
        <v>592588.04392991809</v>
      </c>
      <c r="L25" s="58">
        <f t="shared" ref="L25" si="5">SUM(L21:L24)</f>
        <v>776752.32381206029</v>
      </c>
    </row>
    <row r="26" spans="1:12" ht="21.15" customHeight="1" x14ac:dyDescent="0.4">
      <c r="A26" s="46"/>
      <c r="D26" s="33"/>
      <c r="E26" s="33"/>
      <c r="F26" s="47"/>
      <c r="G26" s="45"/>
      <c r="H26" s="45"/>
      <c r="I26" s="45"/>
      <c r="J26" s="45"/>
      <c r="K26" s="45"/>
      <c r="L26" s="45"/>
    </row>
    <row r="27" spans="1:12" ht="21.15" customHeight="1" thickBot="1" x14ac:dyDescent="0.45">
      <c r="A27" s="63" t="s">
        <v>68</v>
      </c>
      <c r="B27" s="64">
        <f>+B18-B25</f>
        <v>0</v>
      </c>
      <c r="C27" s="64">
        <f>+C18-C25</f>
        <v>0</v>
      </c>
      <c r="D27" s="65"/>
      <c r="E27" s="66">
        <f t="shared" ref="E27:H27" si="6">+E18-E25</f>
        <v>0</v>
      </c>
      <c r="F27" s="67"/>
      <c r="G27" s="67">
        <f t="shared" si="6"/>
        <v>36609.666666666672</v>
      </c>
      <c r="H27" s="67">
        <f t="shared" si="6"/>
        <v>133691.62988784604</v>
      </c>
      <c r="I27" s="67">
        <f t="shared" ref="I27:L27" si="7">+I18-I25</f>
        <v>4654101.6594355227</v>
      </c>
      <c r="J27" s="67">
        <f t="shared" si="7"/>
        <v>5011522.5101717152</v>
      </c>
      <c r="K27" s="67">
        <f t="shared" si="7"/>
        <v>5297311.9560700823</v>
      </c>
      <c r="L27" s="67">
        <f t="shared" si="7"/>
        <v>5578612.6761879399</v>
      </c>
    </row>
    <row r="28" spans="1:12" ht="21.15" customHeight="1" thickTop="1" x14ac:dyDescent="0.4"/>
    <row r="29" spans="1:12" ht="21.15" customHeight="1" x14ac:dyDescent="0.4">
      <c r="F29" s="85"/>
      <c r="G29" s="85">
        <v>0</v>
      </c>
      <c r="H29" s="85">
        <f t="shared" ref="H29:L29" si="8">H25-G25</f>
        <v>16983.370112153974</v>
      </c>
      <c r="I29" s="85">
        <f t="shared" si="8"/>
        <v>306664.97045232286</v>
      </c>
      <c r="J29" s="85">
        <f t="shared" si="8"/>
        <v>97154.149263808387</v>
      </c>
      <c r="K29" s="85">
        <f t="shared" si="8"/>
        <v>171785.55410163285</v>
      </c>
      <c r="L29" s="85">
        <f t="shared" si="8"/>
        <v>184164.2798821422</v>
      </c>
    </row>
    <row r="30" spans="1:12" ht="21.15" customHeight="1" x14ac:dyDescent="0.4">
      <c r="A30" s="34" t="s">
        <v>69</v>
      </c>
      <c r="F30" s="85"/>
      <c r="G30" s="85">
        <f t="shared" ref="G30" si="9">G19-G29</f>
        <v>0</v>
      </c>
      <c r="H30" s="85">
        <f t="shared" ref="H30:L30" si="10">H19-H29</f>
        <v>97081.963221179351</v>
      </c>
      <c r="I30" s="85">
        <f t="shared" si="10"/>
        <v>4520410.0295476774</v>
      </c>
      <c r="J30" s="85">
        <f t="shared" si="10"/>
        <v>357420.85073619161</v>
      </c>
      <c r="K30" s="85">
        <f t="shared" si="10"/>
        <v>285789.44589836715</v>
      </c>
      <c r="L30" s="85">
        <f t="shared" si="10"/>
        <v>281300.7201178578</v>
      </c>
    </row>
  </sheetData>
  <phoneticPr fontId="0" type="noConversion"/>
  <printOptions horizontalCentered="1"/>
  <pageMargins left="0.5" right="0.5" top="0.5" bottom="0.5" header="0" footer="0"/>
  <pageSetup paperSize="9" scale="94" orientation="landscape" verticalDpi="144"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38"/>
  <sheetViews>
    <sheetView workbookViewId="0">
      <selection activeCell="B2" sqref="B2"/>
    </sheetView>
  </sheetViews>
  <sheetFormatPr defaultColWidth="9.109375" defaultRowHeight="18" customHeight="1" x14ac:dyDescent="0.3"/>
  <cols>
    <col min="1" max="1" width="5.6640625" style="3" customWidth="1"/>
    <col min="2" max="2" width="52" style="3" customWidth="1"/>
    <col min="3" max="3" width="34.6640625" style="3" bestFit="1" customWidth="1"/>
    <col min="4" max="4" width="23" style="3" bestFit="1" customWidth="1"/>
    <col min="5" max="7" width="9.44140625" style="3" bestFit="1" customWidth="1"/>
    <col min="8" max="16384" width="9.109375" style="3"/>
  </cols>
  <sheetData>
    <row r="1" spans="1:4" ht="18" customHeight="1" x14ac:dyDescent="0.3">
      <c r="B1" s="68" t="e">
        <f>+#REF!</f>
        <v>#REF!</v>
      </c>
    </row>
    <row r="2" spans="1:4" ht="18" customHeight="1" x14ac:dyDescent="0.3">
      <c r="B2" s="3" t="e">
        <f>+#REF!</f>
        <v>#REF!</v>
      </c>
    </row>
    <row r="3" spans="1:4" ht="18" customHeight="1" x14ac:dyDescent="0.3">
      <c r="B3" s="3" t="e">
        <f>+#REF!</f>
        <v>#REF!</v>
      </c>
    </row>
    <row r="4" spans="1:4" ht="18" customHeight="1" x14ac:dyDescent="0.3">
      <c r="B4" s="3" t="e">
        <f>+#REF!</f>
        <v>#REF!</v>
      </c>
    </row>
    <row r="6" spans="1:4" ht="18" customHeight="1" x14ac:dyDescent="0.3">
      <c r="B6" s="68" t="s">
        <v>81</v>
      </c>
    </row>
    <row r="8" spans="1:4" ht="18" customHeight="1" x14ac:dyDescent="0.3">
      <c r="A8" s="69" t="s">
        <v>78</v>
      </c>
      <c r="B8" s="73" t="s">
        <v>79</v>
      </c>
      <c r="C8" s="69" t="s">
        <v>80</v>
      </c>
      <c r="D8" s="74" t="s">
        <v>2</v>
      </c>
    </row>
    <row r="9" spans="1:4" ht="15.6" x14ac:dyDescent="0.3">
      <c r="A9" s="76">
        <v>1</v>
      </c>
      <c r="B9" s="79" t="s">
        <v>120</v>
      </c>
      <c r="C9" s="75">
        <v>1</v>
      </c>
      <c r="D9" s="88">
        <v>700000</v>
      </c>
    </row>
    <row r="10" spans="1:4" ht="18" customHeight="1" x14ac:dyDescent="0.3">
      <c r="A10" s="76">
        <v>2</v>
      </c>
      <c r="B10" s="79" t="s">
        <v>114</v>
      </c>
      <c r="C10" s="76">
        <v>1</v>
      </c>
      <c r="D10" s="88">
        <v>35000</v>
      </c>
    </row>
    <row r="11" spans="1:4" ht="18" customHeight="1" x14ac:dyDescent="0.3">
      <c r="A11" s="76">
        <v>3</v>
      </c>
      <c r="B11" s="79" t="s">
        <v>116</v>
      </c>
      <c r="C11" s="76">
        <v>1</v>
      </c>
      <c r="D11" s="88">
        <v>150000</v>
      </c>
    </row>
    <row r="12" spans="1:4" ht="18" customHeight="1" x14ac:dyDescent="0.3">
      <c r="A12" s="76">
        <v>4</v>
      </c>
      <c r="B12" s="79" t="s">
        <v>117</v>
      </c>
      <c r="C12" s="76">
        <v>1</v>
      </c>
      <c r="D12" s="88">
        <v>120000</v>
      </c>
    </row>
    <row r="13" spans="1:4" ht="18" customHeight="1" x14ac:dyDescent="0.3">
      <c r="A13" s="76">
        <v>5</v>
      </c>
      <c r="B13" s="79" t="s">
        <v>123</v>
      </c>
      <c r="C13" s="76">
        <v>1</v>
      </c>
      <c r="D13" s="88">
        <v>30000</v>
      </c>
    </row>
    <row r="14" spans="1:4" ht="18" customHeight="1" x14ac:dyDescent="0.3">
      <c r="A14" s="76">
        <v>6</v>
      </c>
      <c r="B14" s="79" t="s">
        <v>122</v>
      </c>
      <c r="C14" s="76">
        <v>1</v>
      </c>
      <c r="D14" s="88">
        <v>30000</v>
      </c>
    </row>
    <row r="15" spans="1:4" ht="18" customHeight="1" x14ac:dyDescent="0.3">
      <c r="A15" s="76">
        <v>7</v>
      </c>
      <c r="B15" s="79" t="s">
        <v>124</v>
      </c>
      <c r="C15" s="76">
        <v>1</v>
      </c>
      <c r="D15" s="88">
        <v>125000</v>
      </c>
    </row>
    <row r="16" spans="1:4" ht="18" customHeight="1" x14ac:dyDescent="0.3">
      <c r="A16" s="76">
        <v>8</v>
      </c>
      <c r="B16" s="79" t="s">
        <v>118</v>
      </c>
      <c r="C16" s="76">
        <v>6</v>
      </c>
      <c r="D16" s="88">
        <v>35000</v>
      </c>
    </row>
    <row r="17" spans="1:7" ht="18" customHeight="1" x14ac:dyDescent="0.3">
      <c r="A17" s="76">
        <v>9</v>
      </c>
      <c r="B17" s="90" t="s">
        <v>121</v>
      </c>
      <c r="C17" s="89">
        <v>1</v>
      </c>
      <c r="D17" s="91">
        <v>70000</v>
      </c>
    </row>
    <row r="18" spans="1:7" ht="18" customHeight="1" x14ac:dyDescent="0.3">
      <c r="A18" s="77"/>
      <c r="B18" s="70"/>
      <c r="C18" s="70"/>
      <c r="D18" s="78">
        <f>SUM(D9:D17)</f>
        <v>1295000</v>
      </c>
    </row>
    <row r="24" spans="1:7" ht="18" customHeight="1" x14ac:dyDescent="0.3">
      <c r="C24" s="3" t="s">
        <v>77</v>
      </c>
    </row>
    <row r="26" spans="1:7" ht="18" customHeight="1" x14ac:dyDescent="0.3">
      <c r="C26" s="3" t="s">
        <v>82</v>
      </c>
      <c r="D26" s="71">
        <v>200</v>
      </c>
    </row>
    <row r="27" spans="1:7" ht="18" customHeight="1" x14ac:dyDescent="0.3">
      <c r="C27" s="3" t="s">
        <v>83</v>
      </c>
      <c r="D27" s="71">
        <v>8000</v>
      </c>
    </row>
    <row r="28" spans="1:7" ht="18" customHeight="1" x14ac:dyDescent="0.3">
      <c r="D28" s="71">
        <f>D26*D27</f>
        <v>1600000</v>
      </c>
    </row>
    <row r="30" spans="1:7" ht="18" customHeight="1" x14ac:dyDescent="0.3">
      <c r="C30" s="3" t="s">
        <v>84</v>
      </c>
      <c r="D30" s="3" t="s">
        <v>85</v>
      </c>
    </row>
    <row r="31" spans="1:7" ht="18" customHeight="1" x14ac:dyDescent="0.3">
      <c r="C31" s="3" t="s">
        <v>86</v>
      </c>
      <c r="D31" s="3">
        <f>365-52-12</f>
        <v>301</v>
      </c>
      <c r="E31" s="3" t="s">
        <v>94</v>
      </c>
      <c r="F31" s="3" t="s">
        <v>95</v>
      </c>
    </row>
    <row r="32" spans="1:7" ht="18" customHeight="1" x14ac:dyDescent="0.3">
      <c r="E32" s="3">
        <v>28</v>
      </c>
      <c r="F32" s="3">
        <v>31</v>
      </c>
      <c r="G32" s="3">
        <f>SUM(E32:F32)</f>
        <v>59</v>
      </c>
    </row>
    <row r="33" spans="3:7" ht="18" customHeight="1" x14ac:dyDescent="0.3">
      <c r="C33" s="3" t="s">
        <v>87</v>
      </c>
      <c r="D33" s="3">
        <f>D31*10</f>
        <v>3010</v>
      </c>
      <c r="G33" s="3">
        <v>30</v>
      </c>
    </row>
    <row r="34" spans="3:7" ht="18" customHeight="1" x14ac:dyDescent="0.3">
      <c r="F34" s="3" t="s">
        <v>96</v>
      </c>
      <c r="G34" s="3">
        <f>G32-G33</f>
        <v>29</v>
      </c>
    </row>
    <row r="35" spans="3:7" ht="18" customHeight="1" x14ac:dyDescent="0.3">
      <c r="C35" s="3" t="s">
        <v>97</v>
      </c>
      <c r="D35" s="3">
        <v>12000</v>
      </c>
      <c r="G35" s="3">
        <f>G34*10</f>
        <v>290</v>
      </c>
    </row>
    <row r="36" spans="3:7" ht="18" customHeight="1" x14ac:dyDescent="0.3">
      <c r="F36" s="72">
        <v>0.4</v>
      </c>
      <c r="G36" s="3">
        <f>G35*40%</f>
        <v>116</v>
      </c>
    </row>
    <row r="37" spans="3:7" ht="18" customHeight="1" x14ac:dyDescent="0.3">
      <c r="C37" s="3" t="s">
        <v>98</v>
      </c>
      <c r="D37" s="3">
        <v>7000</v>
      </c>
    </row>
    <row r="38" spans="3:7" ht="18" customHeight="1" x14ac:dyDescent="0.3">
      <c r="C38" s="3" t="s">
        <v>99</v>
      </c>
      <c r="D38" s="3">
        <v>1000</v>
      </c>
    </row>
  </sheetData>
  <pageMargins left="0.7" right="0.7" top="0.75" bottom="0.75" header="0.3" footer="0.3"/>
  <pageSetup orientation="landscape" r:id="rId1"/>
  <colBreaks count="1" manualBreakCount="1">
    <brk id="4"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6F666-B00C-444B-ADA3-36DE0D840111}">
  <dimension ref="A3:H71"/>
  <sheetViews>
    <sheetView topLeftCell="A46" workbookViewId="0">
      <selection activeCell="H76" sqref="H76"/>
    </sheetView>
  </sheetViews>
  <sheetFormatPr defaultRowHeight="10.199999999999999" x14ac:dyDescent="0.2"/>
  <cols>
    <col min="1" max="1" width="3.5546875" style="439" customWidth="1"/>
    <col min="2" max="2" width="5.77734375" style="439" bestFit="1" customWidth="1"/>
    <col min="3" max="3" width="10.6640625" style="439" customWidth="1"/>
    <col min="4" max="4" width="10" style="439" bestFit="1" customWidth="1"/>
    <col min="5" max="5" width="9.5546875" style="439" bestFit="1" customWidth="1"/>
    <col min="6" max="6" width="7.77734375" style="439" bestFit="1" customWidth="1"/>
    <col min="7" max="7" width="12.44140625" style="439" bestFit="1" customWidth="1"/>
    <col min="8" max="8" width="9.33203125" style="439" bestFit="1" customWidth="1"/>
    <col min="9" max="16384" width="8.88671875" style="439"/>
  </cols>
  <sheetData>
    <row r="3" spans="1:8" x14ac:dyDescent="0.2">
      <c r="A3" s="439" t="s">
        <v>576</v>
      </c>
    </row>
    <row r="4" spans="1:8" x14ac:dyDescent="0.2">
      <c r="A4" s="607"/>
      <c r="B4" s="608"/>
      <c r="C4" s="609"/>
      <c r="D4" s="609"/>
      <c r="E4" s="609"/>
      <c r="F4" s="609"/>
      <c r="G4" s="609"/>
      <c r="H4" s="609"/>
    </row>
    <row r="5" spans="1:8" x14ac:dyDescent="0.2">
      <c r="A5" s="607"/>
      <c r="B5" s="608"/>
      <c r="C5" s="609" t="s">
        <v>562</v>
      </c>
      <c r="D5" s="609">
        <v>3665443</v>
      </c>
      <c r="E5" s="609"/>
      <c r="F5" s="609"/>
      <c r="G5" s="609"/>
      <c r="H5" s="609"/>
    </row>
    <row r="6" spans="1:8" x14ac:dyDescent="0.2">
      <c r="A6" s="607"/>
      <c r="B6" s="608"/>
      <c r="C6" s="609" t="s">
        <v>563</v>
      </c>
      <c r="D6" s="609">
        <v>10.15</v>
      </c>
      <c r="E6" s="609"/>
      <c r="F6" s="609"/>
      <c r="G6" s="609"/>
      <c r="H6" s="609"/>
    </row>
    <row r="7" spans="1:8" x14ac:dyDescent="0.2">
      <c r="A7" s="607"/>
      <c r="B7" s="608"/>
      <c r="C7" s="609" t="s">
        <v>564</v>
      </c>
      <c r="D7" s="609">
        <v>5</v>
      </c>
      <c r="E7" s="609"/>
      <c r="F7" s="609"/>
      <c r="G7" s="609"/>
      <c r="H7" s="609"/>
    </row>
    <row r="8" spans="1:8" x14ac:dyDescent="0.2">
      <c r="A8" s="607"/>
      <c r="B8" s="608"/>
      <c r="C8" s="609" t="s">
        <v>565</v>
      </c>
      <c r="D8" s="609">
        <f>D7*12</f>
        <v>60</v>
      </c>
      <c r="E8" s="609"/>
      <c r="F8" s="609"/>
      <c r="G8" s="609"/>
      <c r="H8" s="609"/>
    </row>
    <row r="9" spans="1:8" x14ac:dyDescent="0.2">
      <c r="A9" s="607"/>
      <c r="B9" s="608"/>
      <c r="C9" s="609"/>
      <c r="D9" s="609"/>
      <c r="E9" s="609"/>
      <c r="F9" s="609"/>
      <c r="G9" s="609"/>
      <c r="H9" s="609"/>
    </row>
    <row r="10" spans="1:8" x14ac:dyDescent="0.2">
      <c r="A10" s="607"/>
      <c r="B10" s="608"/>
      <c r="C10" s="609"/>
      <c r="D10" s="609"/>
      <c r="E10" s="609"/>
      <c r="F10" s="609"/>
      <c r="G10" s="609"/>
      <c r="H10" s="609"/>
    </row>
    <row r="11" spans="1:8" ht="20.399999999999999" x14ac:dyDescent="0.2">
      <c r="A11" s="613" t="s">
        <v>566</v>
      </c>
      <c r="B11" s="614" t="s">
        <v>567</v>
      </c>
      <c r="C11" s="615" t="s">
        <v>568</v>
      </c>
      <c r="D11" s="615" t="s">
        <v>569</v>
      </c>
      <c r="E11" s="615" t="s">
        <v>570</v>
      </c>
      <c r="F11" s="615" t="s">
        <v>571</v>
      </c>
      <c r="G11" s="615" t="s">
        <v>572</v>
      </c>
      <c r="H11" s="615" t="s">
        <v>573</v>
      </c>
    </row>
    <row r="12" spans="1:8" x14ac:dyDescent="0.2">
      <c r="A12" s="610">
        <v>1</v>
      </c>
      <c r="B12" s="611">
        <v>1</v>
      </c>
      <c r="C12" s="612">
        <v>3665443</v>
      </c>
      <c r="D12" s="612">
        <f>C12*0.01015/12</f>
        <v>3100.3538708333331</v>
      </c>
      <c r="E12" s="612">
        <v>75579</v>
      </c>
      <c r="F12" s="612">
        <f>E12-D12</f>
        <v>72478.646129166664</v>
      </c>
      <c r="G12" s="612">
        <f>C12-F12</f>
        <v>3592964.3538708333</v>
      </c>
      <c r="H12" s="612"/>
    </row>
    <row r="13" spans="1:8" x14ac:dyDescent="0.2">
      <c r="A13" s="610"/>
      <c r="B13" s="611">
        <v>2</v>
      </c>
      <c r="C13" s="612">
        <f>G12</f>
        <v>3592964.3538708333</v>
      </c>
      <c r="D13" s="612">
        <f>C13*0.09/12</f>
        <v>26947.23265403125</v>
      </c>
      <c r="E13" s="612">
        <f>E12</f>
        <v>75579</v>
      </c>
      <c r="F13" s="612">
        <f>E13-D13</f>
        <v>48631.76734596875</v>
      </c>
      <c r="G13" s="612">
        <f>C13-F13</f>
        <v>3544332.5865248647</v>
      </c>
      <c r="H13" s="612"/>
    </row>
    <row r="14" spans="1:8" x14ac:dyDescent="0.2">
      <c r="A14" s="610"/>
      <c r="B14" s="611">
        <v>3</v>
      </c>
      <c r="C14" s="612">
        <f t="shared" ref="C14:C71" si="0">G13</f>
        <v>3544332.5865248647</v>
      </c>
      <c r="D14" s="612">
        <f t="shared" ref="D14:D71" si="1">C14*0.09/12</f>
        <v>26582.494398936484</v>
      </c>
      <c r="E14" s="612">
        <f>E13</f>
        <v>75579</v>
      </c>
      <c r="F14" s="612">
        <f t="shared" ref="F14:F70" si="2">E14-D14</f>
        <v>48996.505601063516</v>
      </c>
      <c r="G14" s="612">
        <f t="shared" ref="G14:G71" si="3">C14-F14</f>
        <v>3495336.0809238013</v>
      </c>
      <c r="H14" s="612"/>
    </row>
    <row r="15" spans="1:8" x14ac:dyDescent="0.2">
      <c r="A15" s="610"/>
      <c r="B15" s="611">
        <v>4</v>
      </c>
      <c r="C15" s="612">
        <f t="shared" si="0"/>
        <v>3495336.0809238013</v>
      </c>
      <c r="D15" s="612">
        <f t="shared" si="1"/>
        <v>26215.020606928509</v>
      </c>
      <c r="E15" s="612">
        <f t="shared" ref="E15:E70" si="4">E14</f>
        <v>75579</v>
      </c>
      <c r="F15" s="612">
        <f t="shared" si="2"/>
        <v>49363.979393071495</v>
      </c>
      <c r="G15" s="612">
        <f t="shared" si="3"/>
        <v>3445972.1015307298</v>
      </c>
      <c r="H15" s="612"/>
    </row>
    <row r="16" spans="1:8" x14ac:dyDescent="0.2">
      <c r="A16" s="610"/>
      <c r="B16" s="611">
        <v>5</v>
      </c>
      <c r="C16" s="612">
        <f t="shared" si="0"/>
        <v>3445972.1015307298</v>
      </c>
      <c r="D16" s="612">
        <f t="shared" si="1"/>
        <v>25844.790761480472</v>
      </c>
      <c r="E16" s="612">
        <f t="shared" si="4"/>
        <v>75579</v>
      </c>
      <c r="F16" s="612">
        <f t="shared" si="2"/>
        <v>49734.209238519528</v>
      </c>
      <c r="G16" s="612">
        <f t="shared" si="3"/>
        <v>3396237.8922922104</v>
      </c>
      <c r="H16" s="612"/>
    </row>
    <row r="17" spans="1:8" x14ac:dyDescent="0.2">
      <c r="A17" s="610"/>
      <c r="B17" s="611">
        <v>6</v>
      </c>
      <c r="C17" s="612">
        <f t="shared" si="0"/>
        <v>3396237.8922922104</v>
      </c>
      <c r="D17" s="612">
        <f t="shared" si="1"/>
        <v>25471.784192191579</v>
      </c>
      <c r="E17" s="612">
        <f t="shared" si="4"/>
        <v>75579</v>
      </c>
      <c r="F17" s="612">
        <f t="shared" si="2"/>
        <v>50107.215807808418</v>
      </c>
      <c r="G17" s="612">
        <f t="shared" si="3"/>
        <v>3346130.6764844018</v>
      </c>
      <c r="H17" s="612"/>
    </row>
    <row r="18" spans="1:8" x14ac:dyDescent="0.2">
      <c r="A18" s="610"/>
      <c r="B18" s="611">
        <v>7</v>
      </c>
      <c r="C18" s="612">
        <f t="shared" si="0"/>
        <v>3346130.6764844018</v>
      </c>
      <c r="D18" s="612">
        <f t="shared" si="1"/>
        <v>25095.980073633011</v>
      </c>
      <c r="E18" s="612">
        <f t="shared" si="4"/>
        <v>75579</v>
      </c>
      <c r="F18" s="612">
        <f t="shared" si="2"/>
        <v>50483.019926366993</v>
      </c>
      <c r="G18" s="612">
        <f t="shared" si="3"/>
        <v>3295647.6565580349</v>
      </c>
      <c r="H18" s="612"/>
    </row>
    <row r="19" spans="1:8" x14ac:dyDescent="0.2">
      <c r="A19" s="610"/>
      <c r="B19" s="611">
        <v>8</v>
      </c>
      <c r="C19" s="612">
        <f t="shared" si="0"/>
        <v>3295647.6565580349</v>
      </c>
      <c r="D19" s="612">
        <f t="shared" si="1"/>
        <v>24717.357424185262</v>
      </c>
      <c r="E19" s="612">
        <f t="shared" si="4"/>
        <v>75579</v>
      </c>
      <c r="F19" s="612">
        <f t="shared" si="2"/>
        <v>50861.642575814738</v>
      </c>
      <c r="G19" s="612">
        <f t="shared" si="3"/>
        <v>3244786.0139822201</v>
      </c>
      <c r="H19" s="612"/>
    </row>
    <row r="20" spans="1:8" x14ac:dyDescent="0.2">
      <c r="A20" s="610"/>
      <c r="B20" s="611">
        <v>9</v>
      </c>
      <c r="C20" s="612">
        <f t="shared" si="0"/>
        <v>3244786.0139822201</v>
      </c>
      <c r="D20" s="612">
        <f t="shared" si="1"/>
        <v>24335.895104866649</v>
      </c>
      <c r="E20" s="612">
        <f t="shared" si="4"/>
        <v>75579</v>
      </c>
      <c r="F20" s="612">
        <f t="shared" si="2"/>
        <v>51243.104895133351</v>
      </c>
      <c r="G20" s="612">
        <f t="shared" si="3"/>
        <v>3193542.9090870866</v>
      </c>
      <c r="H20" s="612"/>
    </row>
    <row r="21" spans="1:8" x14ac:dyDescent="0.2">
      <c r="A21" s="610"/>
      <c r="B21" s="611">
        <v>10</v>
      </c>
      <c r="C21" s="612">
        <f t="shared" si="0"/>
        <v>3193542.9090870866</v>
      </c>
      <c r="D21" s="612">
        <f t="shared" si="1"/>
        <v>23951.571818153145</v>
      </c>
      <c r="E21" s="612">
        <f t="shared" si="4"/>
        <v>75579</v>
      </c>
      <c r="F21" s="612">
        <f t="shared" si="2"/>
        <v>51627.428181846859</v>
      </c>
      <c r="G21" s="612">
        <f t="shared" si="3"/>
        <v>3141915.4809052395</v>
      </c>
      <c r="H21" s="612"/>
    </row>
    <row r="22" spans="1:8" x14ac:dyDescent="0.2">
      <c r="A22" s="610"/>
      <c r="B22" s="611">
        <v>11</v>
      </c>
      <c r="C22" s="612">
        <f t="shared" si="0"/>
        <v>3141915.4809052395</v>
      </c>
      <c r="D22" s="612">
        <f t="shared" si="1"/>
        <v>23564.366106789297</v>
      </c>
      <c r="E22" s="612">
        <f t="shared" si="4"/>
        <v>75579</v>
      </c>
      <c r="F22" s="612">
        <f t="shared" si="2"/>
        <v>52014.633893210703</v>
      </c>
      <c r="G22" s="612">
        <f t="shared" si="3"/>
        <v>3089900.8470120286</v>
      </c>
      <c r="H22" s="612"/>
    </row>
    <row r="23" spans="1:8" x14ac:dyDescent="0.2">
      <c r="A23" s="610"/>
      <c r="B23" s="611">
        <v>12</v>
      </c>
      <c r="C23" s="612">
        <f>G22</f>
        <v>3089900.8470120286</v>
      </c>
      <c r="D23" s="612">
        <f t="shared" si="1"/>
        <v>23174.256352590211</v>
      </c>
      <c r="E23" s="612">
        <f>E22</f>
        <v>75579</v>
      </c>
      <c r="F23" s="612">
        <f t="shared" si="2"/>
        <v>52404.743647409792</v>
      </c>
      <c r="G23" s="612">
        <f t="shared" si="3"/>
        <v>3037496.103364619</v>
      </c>
      <c r="H23" s="612">
        <f>SUM(D12:D23)</f>
        <v>279001.10336461919</v>
      </c>
    </row>
    <row r="24" spans="1:8" x14ac:dyDescent="0.2">
      <c r="A24" s="610">
        <v>2</v>
      </c>
      <c r="B24" s="611">
        <v>13</v>
      </c>
      <c r="C24" s="612">
        <f>G23</f>
        <v>3037496.103364619</v>
      </c>
      <c r="D24" s="612">
        <f t="shared" si="1"/>
        <v>22781.22077523464</v>
      </c>
      <c r="E24" s="612">
        <f>E23</f>
        <v>75579</v>
      </c>
      <c r="F24" s="612">
        <f t="shared" si="2"/>
        <v>52797.779224765356</v>
      </c>
      <c r="G24" s="612">
        <f t="shared" si="3"/>
        <v>2984698.3241398535</v>
      </c>
      <c r="H24" s="612"/>
    </row>
    <row r="25" spans="1:8" x14ac:dyDescent="0.2">
      <c r="A25" s="610"/>
      <c r="B25" s="611">
        <v>14</v>
      </c>
      <c r="C25" s="612">
        <f t="shared" si="0"/>
        <v>2984698.3241398535</v>
      </c>
      <c r="D25" s="612">
        <f t="shared" si="1"/>
        <v>22385.237431048899</v>
      </c>
      <c r="E25" s="612">
        <f t="shared" si="4"/>
        <v>75579</v>
      </c>
      <c r="F25" s="612">
        <f t="shared" si="2"/>
        <v>53193.762568951104</v>
      </c>
      <c r="G25" s="612">
        <f t="shared" si="3"/>
        <v>2931504.5615709024</v>
      </c>
      <c r="H25" s="612"/>
    </row>
    <row r="26" spans="1:8" x14ac:dyDescent="0.2">
      <c r="A26" s="610"/>
      <c r="B26" s="611">
        <v>15</v>
      </c>
      <c r="C26" s="612">
        <f t="shared" si="0"/>
        <v>2931504.5615709024</v>
      </c>
      <c r="D26" s="612">
        <f t="shared" si="1"/>
        <v>21986.284211781767</v>
      </c>
      <c r="E26" s="612">
        <f t="shared" si="4"/>
        <v>75579</v>
      </c>
      <c r="F26" s="612">
        <f t="shared" si="2"/>
        <v>53592.715788218236</v>
      </c>
      <c r="G26" s="612">
        <f t="shared" si="3"/>
        <v>2877911.8457826842</v>
      </c>
      <c r="H26" s="612"/>
    </row>
    <row r="27" spans="1:8" x14ac:dyDescent="0.2">
      <c r="A27" s="610"/>
      <c r="B27" s="611">
        <v>16</v>
      </c>
      <c r="C27" s="612">
        <f t="shared" si="0"/>
        <v>2877911.8457826842</v>
      </c>
      <c r="D27" s="612">
        <f t="shared" si="1"/>
        <v>21584.338843370129</v>
      </c>
      <c r="E27" s="612">
        <f t="shared" si="4"/>
        <v>75579</v>
      </c>
      <c r="F27" s="612">
        <f t="shared" si="2"/>
        <v>53994.661156629867</v>
      </c>
      <c r="G27" s="612">
        <f t="shared" si="3"/>
        <v>2823917.1846260545</v>
      </c>
      <c r="H27" s="612"/>
    </row>
    <row r="28" spans="1:8" x14ac:dyDescent="0.2">
      <c r="A28" s="610"/>
      <c r="B28" s="611">
        <v>17</v>
      </c>
      <c r="C28" s="612">
        <f t="shared" si="0"/>
        <v>2823917.1846260545</v>
      </c>
      <c r="D28" s="612">
        <f t="shared" si="1"/>
        <v>21179.378884695408</v>
      </c>
      <c r="E28" s="612">
        <f t="shared" si="4"/>
        <v>75579</v>
      </c>
      <c r="F28" s="612">
        <f t="shared" si="2"/>
        <v>54399.621115304588</v>
      </c>
      <c r="G28" s="612">
        <f t="shared" si="3"/>
        <v>2769517.56351075</v>
      </c>
      <c r="H28" s="612"/>
    </row>
    <row r="29" spans="1:8" x14ac:dyDescent="0.2">
      <c r="A29" s="610"/>
      <c r="B29" s="611">
        <v>18</v>
      </c>
      <c r="C29" s="612">
        <f t="shared" si="0"/>
        <v>2769517.56351075</v>
      </c>
      <c r="D29" s="612">
        <f t="shared" si="1"/>
        <v>20771.381726330623</v>
      </c>
      <c r="E29" s="612">
        <f t="shared" si="4"/>
        <v>75579</v>
      </c>
      <c r="F29" s="612">
        <f t="shared" si="2"/>
        <v>54807.618273669374</v>
      </c>
      <c r="G29" s="612">
        <f t="shared" si="3"/>
        <v>2714709.9452370806</v>
      </c>
      <c r="H29" s="612"/>
    </row>
    <row r="30" spans="1:8" x14ac:dyDescent="0.2">
      <c r="A30" s="610"/>
      <c r="B30" s="611">
        <v>19</v>
      </c>
      <c r="C30" s="612">
        <f t="shared" si="0"/>
        <v>2714709.9452370806</v>
      </c>
      <c r="D30" s="612">
        <f t="shared" si="1"/>
        <v>20360.324589278101</v>
      </c>
      <c r="E30" s="612">
        <f t="shared" si="4"/>
        <v>75579</v>
      </c>
      <c r="F30" s="612">
        <f t="shared" si="2"/>
        <v>55218.675410721902</v>
      </c>
      <c r="G30" s="612">
        <f t="shared" si="3"/>
        <v>2659491.2698263586</v>
      </c>
      <c r="H30" s="612"/>
    </row>
    <row r="31" spans="1:8" x14ac:dyDescent="0.2">
      <c r="A31" s="610"/>
      <c r="B31" s="611">
        <v>20</v>
      </c>
      <c r="C31" s="612">
        <f t="shared" si="0"/>
        <v>2659491.2698263586</v>
      </c>
      <c r="D31" s="612">
        <f t="shared" si="1"/>
        <v>19946.184523697691</v>
      </c>
      <c r="E31" s="612">
        <f t="shared" si="4"/>
        <v>75579</v>
      </c>
      <c r="F31" s="612">
        <f t="shared" si="2"/>
        <v>55632.815476302305</v>
      </c>
      <c r="G31" s="612">
        <f t="shared" si="3"/>
        <v>2603858.4543500561</v>
      </c>
      <c r="H31" s="612"/>
    </row>
    <row r="32" spans="1:8" x14ac:dyDescent="0.2">
      <c r="A32" s="610"/>
      <c r="B32" s="611">
        <v>21</v>
      </c>
      <c r="C32" s="612">
        <f t="shared" si="0"/>
        <v>2603858.4543500561</v>
      </c>
      <c r="D32" s="612">
        <f t="shared" si="1"/>
        <v>19528.938407625421</v>
      </c>
      <c r="E32" s="612">
        <f t="shared" si="4"/>
        <v>75579</v>
      </c>
      <c r="F32" s="612">
        <f t="shared" si="2"/>
        <v>56050.061592374579</v>
      </c>
      <c r="G32" s="612">
        <f t="shared" si="3"/>
        <v>2547808.3927576817</v>
      </c>
      <c r="H32" s="612"/>
    </row>
    <row r="33" spans="1:8" x14ac:dyDescent="0.2">
      <c r="A33" s="610"/>
      <c r="B33" s="611">
        <v>22</v>
      </c>
      <c r="C33" s="612">
        <f t="shared" si="0"/>
        <v>2547808.3927576817</v>
      </c>
      <c r="D33" s="612">
        <f t="shared" si="1"/>
        <v>19108.56294568261</v>
      </c>
      <c r="E33" s="612">
        <f t="shared" si="4"/>
        <v>75579</v>
      </c>
      <c r="F33" s="612">
        <f t="shared" si="2"/>
        <v>56470.437054317386</v>
      </c>
      <c r="G33" s="612">
        <f t="shared" si="3"/>
        <v>2491337.9557033642</v>
      </c>
      <c r="H33" s="612"/>
    </row>
    <row r="34" spans="1:8" x14ac:dyDescent="0.2">
      <c r="A34" s="610"/>
      <c r="B34" s="611">
        <v>23</v>
      </c>
      <c r="C34" s="612">
        <f t="shared" si="0"/>
        <v>2491337.9557033642</v>
      </c>
      <c r="D34" s="612">
        <f t="shared" si="1"/>
        <v>18685.034667775231</v>
      </c>
      <c r="E34" s="612">
        <f t="shared" si="4"/>
        <v>75579</v>
      </c>
      <c r="F34" s="612">
        <f t="shared" si="2"/>
        <v>56893.965332224769</v>
      </c>
      <c r="G34" s="612">
        <f t="shared" si="3"/>
        <v>2434443.9903711393</v>
      </c>
      <c r="H34" s="612"/>
    </row>
    <row r="35" spans="1:8" x14ac:dyDescent="0.2">
      <c r="A35" s="610"/>
      <c r="B35" s="611">
        <v>24</v>
      </c>
      <c r="C35" s="612">
        <f t="shared" si="0"/>
        <v>2434443.9903711393</v>
      </c>
      <c r="D35" s="612">
        <f t="shared" si="1"/>
        <v>18258.329927783543</v>
      </c>
      <c r="E35" s="612">
        <f t="shared" si="4"/>
        <v>75579</v>
      </c>
      <c r="F35" s="612">
        <f t="shared" si="2"/>
        <v>57320.670072216453</v>
      </c>
      <c r="G35" s="612">
        <f t="shared" si="3"/>
        <v>2377123.3202989227</v>
      </c>
      <c r="H35" s="612">
        <f>SUM(D24:D35)</f>
        <v>246575.21693430407</v>
      </c>
    </row>
    <row r="36" spans="1:8" x14ac:dyDescent="0.2">
      <c r="A36" s="610">
        <v>3</v>
      </c>
      <c r="B36" s="611">
        <v>25</v>
      </c>
      <c r="C36" s="612">
        <f t="shared" si="0"/>
        <v>2377123.3202989227</v>
      </c>
      <c r="D36" s="612">
        <f t="shared" si="1"/>
        <v>17828.424902241921</v>
      </c>
      <c r="E36" s="612">
        <f t="shared" si="4"/>
        <v>75579</v>
      </c>
      <c r="F36" s="612">
        <f t="shared" si="2"/>
        <v>57750.575097758076</v>
      </c>
      <c r="G36" s="612">
        <f t="shared" si="3"/>
        <v>2319372.7452011649</v>
      </c>
      <c r="H36" s="612"/>
    </row>
    <row r="37" spans="1:8" x14ac:dyDescent="0.2">
      <c r="A37" s="610"/>
      <c r="B37" s="611">
        <v>26</v>
      </c>
      <c r="C37" s="612">
        <f t="shared" si="0"/>
        <v>2319372.7452011649</v>
      </c>
      <c r="D37" s="612">
        <f t="shared" si="1"/>
        <v>17395.295589008736</v>
      </c>
      <c r="E37" s="612">
        <f t="shared" si="4"/>
        <v>75579</v>
      </c>
      <c r="F37" s="612">
        <f t="shared" si="2"/>
        <v>58183.704410991268</v>
      </c>
      <c r="G37" s="612">
        <f t="shared" si="3"/>
        <v>2261189.0407901737</v>
      </c>
      <c r="H37" s="612"/>
    </row>
    <row r="38" spans="1:8" x14ac:dyDescent="0.2">
      <c r="A38" s="610"/>
      <c r="B38" s="611">
        <v>27</v>
      </c>
      <c r="C38" s="612">
        <f t="shared" si="0"/>
        <v>2261189.0407901737</v>
      </c>
      <c r="D38" s="612">
        <f t="shared" si="1"/>
        <v>16958.917805926303</v>
      </c>
      <c r="E38" s="612">
        <f t="shared" si="4"/>
        <v>75579</v>
      </c>
      <c r="F38" s="612">
        <f t="shared" si="2"/>
        <v>58620.082194073693</v>
      </c>
      <c r="G38" s="612">
        <f t="shared" si="3"/>
        <v>2202568.9585961001</v>
      </c>
      <c r="H38" s="612"/>
    </row>
    <row r="39" spans="1:8" x14ac:dyDescent="0.2">
      <c r="A39" s="610"/>
      <c r="B39" s="611">
        <v>28</v>
      </c>
      <c r="C39" s="612">
        <f t="shared" si="0"/>
        <v>2202568.9585961001</v>
      </c>
      <c r="D39" s="612">
        <f t="shared" si="1"/>
        <v>16519.267189470749</v>
      </c>
      <c r="E39" s="612">
        <f t="shared" si="4"/>
        <v>75579</v>
      </c>
      <c r="F39" s="612">
        <f t="shared" si="2"/>
        <v>59059.732810529254</v>
      </c>
      <c r="G39" s="612">
        <f t="shared" si="3"/>
        <v>2143509.2257855707</v>
      </c>
      <c r="H39" s="612"/>
    </row>
    <row r="40" spans="1:8" x14ac:dyDescent="0.2">
      <c r="A40" s="610"/>
      <c r="B40" s="611">
        <v>29</v>
      </c>
      <c r="C40" s="612">
        <f t="shared" si="0"/>
        <v>2143509.2257855707</v>
      </c>
      <c r="D40" s="612">
        <f t="shared" si="1"/>
        <v>16076.319193391779</v>
      </c>
      <c r="E40" s="612">
        <f t="shared" si="4"/>
        <v>75579</v>
      </c>
      <c r="F40" s="612">
        <f t="shared" si="2"/>
        <v>59502.680806608223</v>
      </c>
      <c r="G40" s="612">
        <f t="shared" si="3"/>
        <v>2084006.5449789625</v>
      </c>
      <c r="H40" s="612"/>
    </row>
    <row r="41" spans="1:8" x14ac:dyDescent="0.2">
      <c r="A41" s="610"/>
      <c r="B41" s="611">
        <v>30</v>
      </c>
      <c r="C41" s="612">
        <f t="shared" si="0"/>
        <v>2084006.5449789625</v>
      </c>
      <c r="D41" s="612">
        <f t="shared" si="1"/>
        <v>15630.049087342219</v>
      </c>
      <c r="E41" s="612">
        <f t="shared" si="4"/>
        <v>75579</v>
      </c>
      <c r="F41" s="612">
        <f t="shared" si="2"/>
        <v>59948.950912657783</v>
      </c>
      <c r="G41" s="612">
        <f t="shared" si="3"/>
        <v>2024057.5940663046</v>
      </c>
      <c r="H41" s="612"/>
    </row>
    <row r="42" spans="1:8" x14ac:dyDescent="0.2">
      <c r="A42" s="610"/>
      <c r="B42" s="611">
        <v>31</v>
      </c>
      <c r="C42" s="612">
        <f t="shared" si="0"/>
        <v>2024057.5940663046</v>
      </c>
      <c r="D42" s="612">
        <f t="shared" si="1"/>
        <v>15180.431955497284</v>
      </c>
      <c r="E42" s="612">
        <f t="shared" si="4"/>
        <v>75579</v>
      </c>
      <c r="F42" s="612">
        <f t="shared" si="2"/>
        <v>60398.568044502717</v>
      </c>
      <c r="G42" s="612">
        <f t="shared" si="3"/>
        <v>1963659.0260218019</v>
      </c>
      <c r="H42" s="612"/>
    </row>
    <row r="43" spans="1:8" x14ac:dyDescent="0.2">
      <c r="A43" s="610"/>
      <c r="B43" s="611">
        <v>32</v>
      </c>
      <c r="C43" s="612">
        <f t="shared" si="0"/>
        <v>1963659.0260218019</v>
      </c>
      <c r="D43" s="612">
        <f t="shared" si="1"/>
        <v>14727.442695163512</v>
      </c>
      <c r="E43" s="612">
        <f t="shared" si="4"/>
        <v>75579</v>
      </c>
      <c r="F43" s="612">
        <f t="shared" si="2"/>
        <v>60851.557304836489</v>
      </c>
      <c r="G43" s="612">
        <f t="shared" si="3"/>
        <v>1902807.4687169653</v>
      </c>
      <c r="H43" s="612"/>
    </row>
    <row r="44" spans="1:8" x14ac:dyDescent="0.2">
      <c r="A44" s="610"/>
      <c r="B44" s="611">
        <v>33</v>
      </c>
      <c r="C44" s="612">
        <f t="shared" si="0"/>
        <v>1902807.4687169653</v>
      </c>
      <c r="D44" s="612">
        <f t="shared" si="1"/>
        <v>14271.056015377239</v>
      </c>
      <c r="E44" s="612">
        <f t="shared" si="4"/>
        <v>75579</v>
      </c>
      <c r="F44" s="612">
        <f t="shared" si="2"/>
        <v>61307.943984622761</v>
      </c>
      <c r="G44" s="612">
        <f t="shared" si="3"/>
        <v>1841499.5247323425</v>
      </c>
      <c r="H44" s="612"/>
    </row>
    <row r="45" spans="1:8" x14ac:dyDescent="0.2">
      <c r="A45" s="610"/>
      <c r="B45" s="611">
        <v>34</v>
      </c>
      <c r="C45" s="612">
        <f t="shared" si="0"/>
        <v>1841499.5247323425</v>
      </c>
      <c r="D45" s="612">
        <f t="shared" si="1"/>
        <v>13811.246435492569</v>
      </c>
      <c r="E45" s="612">
        <f t="shared" si="4"/>
        <v>75579</v>
      </c>
      <c r="F45" s="612">
        <f t="shared" si="2"/>
        <v>61767.753564507431</v>
      </c>
      <c r="G45" s="612">
        <f t="shared" si="3"/>
        <v>1779731.771167835</v>
      </c>
      <c r="H45" s="612"/>
    </row>
    <row r="46" spans="1:8" x14ac:dyDescent="0.2">
      <c r="A46" s="610"/>
      <c r="B46" s="611">
        <v>35</v>
      </c>
      <c r="C46" s="612">
        <f t="shared" si="0"/>
        <v>1779731.771167835</v>
      </c>
      <c r="D46" s="612">
        <f t="shared" si="1"/>
        <v>13347.988283758763</v>
      </c>
      <c r="E46" s="612">
        <f t="shared" si="4"/>
        <v>75579</v>
      </c>
      <c r="F46" s="612">
        <f t="shared" si="2"/>
        <v>62231.011716241235</v>
      </c>
      <c r="G46" s="612">
        <f t="shared" si="3"/>
        <v>1717500.7594515937</v>
      </c>
      <c r="H46" s="612"/>
    </row>
    <row r="47" spans="1:8" x14ac:dyDescent="0.2">
      <c r="A47" s="610"/>
      <c r="B47" s="611">
        <v>36</v>
      </c>
      <c r="C47" s="612">
        <f t="shared" si="0"/>
        <v>1717500.7594515937</v>
      </c>
      <c r="D47" s="612">
        <f t="shared" si="1"/>
        <v>12881.255695886954</v>
      </c>
      <c r="E47" s="612">
        <f t="shared" si="4"/>
        <v>75579</v>
      </c>
      <c r="F47" s="612">
        <f t="shared" si="2"/>
        <v>62697.744304113046</v>
      </c>
      <c r="G47" s="612">
        <f t="shared" si="3"/>
        <v>1654803.0151474806</v>
      </c>
      <c r="H47" s="612">
        <f>SUM(D36:D47)</f>
        <v>184627.69484855799</v>
      </c>
    </row>
    <row r="48" spans="1:8" x14ac:dyDescent="0.2">
      <c r="A48" s="610">
        <v>4</v>
      </c>
      <c r="B48" s="611">
        <v>37</v>
      </c>
      <c r="C48" s="612">
        <f t="shared" si="0"/>
        <v>1654803.0151474806</v>
      </c>
      <c r="D48" s="612">
        <f t="shared" si="1"/>
        <v>12411.022613606105</v>
      </c>
      <c r="E48" s="612">
        <f t="shared" si="4"/>
        <v>75579</v>
      </c>
      <c r="F48" s="612">
        <f t="shared" si="2"/>
        <v>63167.977386393897</v>
      </c>
      <c r="G48" s="612">
        <f t="shared" si="3"/>
        <v>1591635.0377610868</v>
      </c>
      <c r="H48" s="612"/>
    </row>
    <row r="49" spans="1:8" x14ac:dyDescent="0.2">
      <c r="A49" s="610"/>
      <c r="B49" s="611">
        <v>38</v>
      </c>
      <c r="C49" s="612">
        <f t="shared" si="0"/>
        <v>1591635.0377610868</v>
      </c>
      <c r="D49" s="612">
        <f t="shared" si="1"/>
        <v>11937.262783208151</v>
      </c>
      <c r="E49" s="612">
        <f t="shared" si="4"/>
        <v>75579</v>
      </c>
      <c r="F49" s="612">
        <f t="shared" si="2"/>
        <v>63641.737216791851</v>
      </c>
      <c r="G49" s="612">
        <f t="shared" si="3"/>
        <v>1527993.300544295</v>
      </c>
      <c r="H49" s="612"/>
    </row>
    <row r="50" spans="1:8" x14ac:dyDescent="0.2">
      <c r="A50" s="610"/>
      <c r="B50" s="611">
        <v>39</v>
      </c>
      <c r="C50" s="612">
        <f t="shared" si="0"/>
        <v>1527993.300544295</v>
      </c>
      <c r="D50" s="612">
        <f t="shared" si="1"/>
        <v>11459.949754082212</v>
      </c>
      <c r="E50" s="612">
        <f t="shared" si="4"/>
        <v>75579</v>
      </c>
      <c r="F50" s="612">
        <f t="shared" si="2"/>
        <v>64119.050245917788</v>
      </c>
      <c r="G50" s="612">
        <f t="shared" si="3"/>
        <v>1463874.2502983771</v>
      </c>
      <c r="H50" s="612"/>
    </row>
    <row r="51" spans="1:8" x14ac:dyDescent="0.2">
      <c r="A51" s="610"/>
      <c r="B51" s="611">
        <v>40</v>
      </c>
      <c r="C51" s="612">
        <f t="shared" si="0"/>
        <v>1463874.2502983771</v>
      </c>
      <c r="D51" s="612">
        <f t="shared" si="1"/>
        <v>10979.056877237826</v>
      </c>
      <c r="E51" s="612">
        <f t="shared" si="4"/>
        <v>75579</v>
      </c>
      <c r="F51" s="612">
        <f t="shared" si="2"/>
        <v>64599.943122762175</v>
      </c>
      <c r="G51" s="612">
        <f t="shared" si="3"/>
        <v>1399274.3071756149</v>
      </c>
      <c r="H51" s="612"/>
    </row>
    <row r="52" spans="1:8" x14ac:dyDescent="0.2">
      <c r="A52" s="610"/>
      <c r="B52" s="611">
        <v>41</v>
      </c>
      <c r="C52" s="612">
        <f t="shared" si="0"/>
        <v>1399274.3071756149</v>
      </c>
      <c r="D52" s="612">
        <f t="shared" si="1"/>
        <v>10494.557303817111</v>
      </c>
      <c r="E52" s="612">
        <f t="shared" si="4"/>
        <v>75579</v>
      </c>
      <c r="F52" s="612">
        <f t="shared" si="2"/>
        <v>65084.442696182887</v>
      </c>
      <c r="G52" s="612">
        <f t="shared" si="3"/>
        <v>1334189.8644794319</v>
      </c>
      <c r="H52" s="612"/>
    </row>
    <row r="53" spans="1:8" x14ac:dyDescent="0.2">
      <c r="A53" s="610"/>
      <c r="B53" s="611">
        <v>42</v>
      </c>
      <c r="C53" s="612">
        <f t="shared" si="0"/>
        <v>1334189.8644794319</v>
      </c>
      <c r="D53" s="612">
        <f t="shared" si="1"/>
        <v>10006.42398359574</v>
      </c>
      <c r="E53" s="612">
        <f t="shared" si="4"/>
        <v>75579</v>
      </c>
      <c r="F53" s="612">
        <f t="shared" si="2"/>
        <v>65572.576016404259</v>
      </c>
      <c r="G53" s="612">
        <f t="shared" si="3"/>
        <v>1268617.2884630277</v>
      </c>
      <c r="H53" s="612"/>
    </row>
    <row r="54" spans="1:8" x14ac:dyDescent="0.2">
      <c r="A54" s="610"/>
      <c r="B54" s="611">
        <v>43</v>
      </c>
      <c r="C54" s="612">
        <f t="shared" si="0"/>
        <v>1268617.2884630277</v>
      </c>
      <c r="D54" s="612">
        <f t="shared" si="1"/>
        <v>9514.6296634727078</v>
      </c>
      <c r="E54" s="612">
        <f t="shared" si="4"/>
        <v>75579</v>
      </c>
      <c r="F54" s="612">
        <f t="shared" si="2"/>
        <v>66064.370336527296</v>
      </c>
      <c r="G54" s="612">
        <f t="shared" si="3"/>
        <v>1202552.9181265004</v>
      </c>
      <c r="H54" s="612"/>
    </row>
    <row r="55" spans="1:8" x14ac:dyDescent="0.2">
      <c r="A55" s="610"/>
      <c r="B55" s="611">
        <v>44</v>
      </c>
      <c r="C55" s="612">
        <f t="shared" si="0"/>
        <v>1202552.9181265004</v>
      </c>
      <c r="D55" s="612">
        <f t="shared" si="1"/>
        <v>9019.1468859487522</v>
      </c>
      <c r="E55" s="612">
        <f t="shared" si="4"/>
        <v>75579</v>
      </c>
      <c r="F55" s="612">
        <f t="shared" si="2"/>
        <v>66559.85311405125</v>
      </c>
      <c r="G55" s="612">
        <f t="shared" si="3"/>
        <v>1135993.0650124492</v>
      </c>
      <c r="H55" s="612"/>
    </row>
    <row r="56" spans="1:8" x14ac:dyDescent="0.2">
      <c r="A56" s="610"/>
      <c r="B56" s="611">
        <v>45</v>
      </c>
      <c r="C56" s="612">
        <f t="shared" si="0"/>
        <v>1135993.0650124492</v>
      </c>
      <c r="D56" s="612">
        <f t="shared" si="1"/>
        <v>8519.9479875933685</v>
      </c>
      <c r="E56" s="612">
        <f t="shared" si="4"/>
        <v>75579</v>
      </c>
      <c r="F56" s="612">
        <f t="shared" si="2"/>
        <v>67059.052012406639</v>
      </c>
      <c r="G56" s="612">
        <f t="shared" si="3"/>
        <v>1068934.0130000426</v>
      </c>
      <c r="H56" s="612"/>
    </row>
    <row r="57" spans="1:8" x14ac:dyDescent="0.2">
      <c r="A57" s="610"/>
      <c r="B57" s="611">
        <v>46</v>
      </c>
      <c r="C57" s="612">
        <f t="shared" si="0"/>
        <v>1068934.0130000426</v>
      </c>
      <c r="D57" s="612">
        <f t="shared" si="1"/>
        <v>8017.0050975003187</v>
      </c>
      <c r="E57" s="612">
        <f t="shared" si="4"/>
        <v>75579</v>
      </c>
      <c r="F57" s="612">
        <f t="shared" si="2"/>
        <v>67561.994902499675</v>
      </c>
      <c r="G57" s="612">
        <f t="shared" si="3"/>
        <v>1001372.0180975429</v>
      </c>
      <c r="H57" s="612"/>
    </row>
    <row r="58" spans="1:8" x14ac:dyDescent="0.2">
      <c r="A58" s="610"/>
      <c r="B58" s="611">
        <v>47</v>
      </c>
      <c r="C58" s="612">
        <f t="shared" si="0"/>
        <v>1001372.0180975429</v>
      </c>
      <c r="D58" s="612">
        <f t="shared" si="1"/>
        <v>7510.2901357315714</v>
      </c>
      <c r="E58" s="612">
        <f t="shared" si="4"/>
        <v>75579</v>
      </c>
      <c r="F58" s="612">
        <f t="shared" si="2"/>
        <v>68068.709864268429</v>
      </c>
      <c r="G58" s="612">
        <f t="shared" si="3"/>
        <v>933303.3082332745</v>
      </c>
      <c r="H58" s="612"/>
    </row>
    <row r="59" spans="1:8" x14ac:dyDescent="0.2">
      <c r="A59" s="610"/>
      <c r="B59" s="611">
        <v>48</v>
      </c>
      <c r="C59" s="612">
        <f t="shared" si="0"/>
        <v>933303.3082332745</v>
      </c>
      <c r="D59" s="612">
        <f t="shared" si="1"/>
        <v>6999.7748117495585</v>
      </c>
      <c r="E59" s="612">
        <f t="shared" si="4"/>
        <v>75579</v>
      </c>
      <c r="F59" s="612">
        <f t="shared" si="2"/>
        <v>68579.225188250435</v>
      </c>
      <c r="G59" s="612">
        <f t="shared" si="3"/>
        <v>864724.08304502408</v>
      </c>
      <c r="H59" s="612">
        <f>SUM(D48:D59)</f>
        <v>116869.06789754343</v>
      </c>
    </row>
    <row r="60" spans="1:8" x14ac:dyDescent="0.2">
      <c r="A60" s="610">
        <v>5</v>
      </c>
      <c r="B60" s="611">
        <v>49</v>
      </c>
      <c r="C60" s="612">
        <f t="shared" si="0"/>
        <v>864724.08304502408</v>
      </c>
      <c r="D60" s="612">
        <f t="shared" si="1"/>
        <v>6485.4306228376809</v>
      </c>
      <c r="E60" s="612">
        <f t="shared" si="4"/>
        <v>75579</v>
      </c>
      <c r="F60" s="612">
        <f t="shared" si="2"/>
        <v>69093.569377162319</v>
      </c>
      <c r="G60" s="612">
        <f t="shared" si="3"/>
        <v>795630.5136678617</v>
      </c>
      <c r="H60" s="612"/>
    </row>
    <row r="61" spans="1:8" x14ac:dyDescent="0.2">
      <c r="A61" s="610"/>
      <c r="B61" s="611">
        <v>50</v>
      </c>
      <c r="C61" s="612">
        <f t="shared" si="0"/>
        <v>795630.5136678617</v>
      </c>
      <c r="D61" s="612">
        <f t="shared" si="1"/>
        <v>5967.2288525089616</v>
      </c>
      <c r="E61" s="612">
        <f t="shared" si="4"/>
        <v>75579</v>
      </c>
      <c r="F61" s="612">
        <f t="shared" si="2"/>
        <v>69611.771147491032</v>
      </c>
      <c r="G61" s="612">
        <f t="shared" si="3"/>
        <v>726018.74252037064</v>
      </c>
      <c r="H61" s="612"/>
    </row>
    <row r="62" spans="1:8" x14ac:dyDescent="0.2">
      <c r="A62" s="610"/>
      <c r="B62" s="611">
        <v>51</v>
      </c>
      <c r="C62" s="612">
        <f t="shared" si="0"/>
        <v>726018.74252037064</v>
      </c>
      <c r="D62" s="612">
        <f t="shared" si="1"/>
        <v>5445.1405689027797</v>
      </c>
      <c r="E62" s="612">
        <f t="shared" si="4"/>
        <v>75579</v>
      </c>
      <c r="F62" s="612">
        <f t="shared" si="2"/>
        <v>70133.859431097226</v>
      </c>
      <c r="G62" s="612">
        <f t="shared" si="3"/>
        <v>655884.88308927347</v>
      </c>
      <c r="H62" s="612"/>
    </row>
    <row r="63" spans="1:8" x14ac:dyDescent="0.2">
      <c r="A63" s="610"/>
      <c r="B63" s="611">
        <v>52</v>
      </c>
      <c r="C63" s="612">
        <f t="shared" si="0"/>
        <v>655884.88308927347</v>
      </c>
      <c r="D63" s="612">
        <f t="shared" si="1"/>
        <v>4919.1366231695511</v>
      </c>
      <c r="E63" s="612">
        <f t="shared" si="4"/>
        <v>75579</v>
      </c>
      <c r="F63" s="612">
        <f t="shared" si="2"/>
        <v>70659.863376830443</v>
      </c>
      <c r="G63" s="612">
        <f t="shared" si="3"/>
        <v>585225.019712443</v>
      </c>
      <c r="H63" s="612"/>
    </row>
    <row r="64" spans="1:8" x14ac:dyDescent="0.2">
      <c r="A64" s="610"/>
      <c r="B64" s="611">
        <v>53</v>
      </c>
      <c r="C64" s="612">
        <f t="shared" si="0"/>
        <v>585225.019712443</v>
      </c>
      <c r="D64" s="612">
        <f t="shared" si="1"/>
        <v>4389.1876478433223</v>
      </c>
      <c r="E64" s="612">
        <f t="shared" si="4"/>
        <v>75579</v>
      </c>
      <c r="F64" s="612">
        <f t="shared" si="2"/>
        <v>71189.812352156674</v>
      </c>
      <c r="G64" s="612">
        <f t="shared" si="3"/>
        <v>514035.20736028632</v>
      </c>
      <c r="H64" s="612"/>
    </row>
    <row r="65" spans="1:8" x14ac:dyDescent="0.2">
      <c r="A65" s="610"/>
      <c r="B65" s="611">
        <v>54</v>
      </c>
      <c r="C65" s="612">
        <f t="shared" si="0"/>
        <v>514035.20736028632</v>
      </c>
      <c r="D65" s="612">
        <f t="shared" si="1"/>
        <v>3855.2640552021476</v>
      </c>
      <c r="E65" s="612">
        <f t="shared" si="4"/>
        <v>75579</v>
      </c>
      <c r="F65" s="612">
        <f t="shared" si="2"/>
        <v>71723.735944797852</v>
      </c>
      <c r="G65" s="612">
        <f t="shared" si="3"/>
        <v>442311.47141548846</v>
      </c>
      <c r="H65" s="612"/>
    </row>
    <row r="66" spans="1:8" x14ac:dyDescent="0.2">
      <c r="A66" s="610"/>
      <c r="B66" s="611">
        <v>55</v>
      </c>
      <c r="C66" s="612">
        <f t="shared" si="0"/>
        <v>442311.47141548846</v>
      </c>
      <c r="D66" s="612">
        <f t="shared" si="1"/>
        <v>3317.3360356161634</v>
      </c>
      <c r="E66" s="612">
        <f t="shared" si="4"/>
        <v>75579</v>
      </c>
      <c r="F66" s="612">
        <f t="shared" si="2"/>
        <v>72261.663964383843</v>
      </c>
      <c r="G66" s="612">
        <f t="shared" si="3"/>
        <v>370049.80745110463</v>
      </c>
      <c r="H66" s="612"/>
    </row>
    <row r="67" spans="1:8" x14ac:dyDescent="0.2">
      <c r="A67" s="610"/>
      <c r="B67" s="611">
        <v>56</v>
      </c>
      <c r="C67" s="612">
        <f t="shared" si="0"/>
        <v>370049.80745110463</v>
      </c>
      <c r="D67" s="612">
        <f t="shared" si="1"/>
        <v>2775.3735558832846</v>
      </c>
      <c r="E67" s="612">
        <f t="shared" si="4"/>
        <v>75579</v>
      </c>
      <c r="F67" s="612">
        <f t="shared" si="2"/>
        <v>72803.626444116715</v>
      </c>
      <c r="G67" s="612">
        <f t="shared" si="3"/>
        <v>297246.18100698793</v>
      </c>
      <c r="H67" s="612"/>
    </row>
    <row r="68" spans="1:8" x14ac:dyDescent="0.2">
      <c r="A68" s="610"/>
      <c r="B68" s="611">
        <v>57</v>
      </c>
      <c r="C68" s="612">
        <f t="shared" si="0"/>
        <v>297246.18100698793</v>
      </c>
      <c r="D68" s="612">
        <f t="shared" si="1"/>
        <v>2229.3463575524092</v>
      </c>
      <c r="E68" s="612">
        <f t="shared" si="4"/>
        <v>75579</v>
      </c>
      <c r="F68" s="612">
        <f t="shared" si="2"/>
        <v>73349.653642447593</v>
      </c>
      <c r="G68" s="612">
        <f t="shared" si="3"/>
        <v>223896.52736454032</v>
      </c>
      <c r="H68" s="612"/>
    </row>
    <row r="69" spans="1:8" x14ac:dyDescent="0.2">
      <c r="A69" s="610"/>
      <c r="B69" s="611">
        <v>58</v>
      </c>
      <c r="C69" s="612">
        <f t="shared" si="0"/>
        <v>223896.52736454032</v>
      </c>
      <c r="D69" s="612">
        <f t="shared" si="1"/>
        <v>1679.2239552340525</v>
      </c>
      <c r="E69" s="612">
        <f t="shared" si="4"/>
        <v>75579</v>
      </c>
      <c r="F69" s="612">
        <f t="shared" si="2"/>
        <v>73899.776044765953</v>
      </c>
      <c r="G69" s="612">
        <f t="shared" si="3"/>
        <v>149996.75131977437</v>
      </c>
      <c r="H69" s="612"/>
    </row>
    <row r="70" spans="1:8" x14ac:dyDescent="0.2">
      <c r="A70" s="610"/>
      <c r="B70" s="611">
        <v>59</v>
      </c>
      <c r="C70" s="612">
        <f t="shared" si="0"/>
        <v>149996.75131977437</v>
      </c>
      <c r="D70" s="612">
        <f t="shared" si="1"/>
        <v>1124.9756348983076</v>
      </c>
      <c r="E70" s="612">
        <f t="shared" si="4"/>
        <v>75579</v>
      </c>
      <c r="F70" s="612">
        <f t="shared" si="2"/>
        <v>74454.024365101694</v>
      </c>
      <c r="G70" s="612">
        <f t="shared" si="3"/>
        <v>75542.726954672675</v>
      </c>
      <c r="H70" s="612"/>
    </row>
    <row r="71" spans="1:8" x14ac:dyDescent="0.2">
      <c r="A71" s="610"/>
      <c r="B71" s="611">
        <v>60</v>
      </c>
      <c r="C71" s="612">
        <f t="shared" si="0"/>
        <v>75542.726954672675</v>
      </c>
      <c r="D71" s="612">
        <f t="shared" si="1"/>
        <v>566.57045216004497</v>
      </c>
      <c r="E71" s="612">
        <f>E70+D71</f>
        <v>76145.570452160042</v>
      </c>
      <c r="F71" s="612">
        <f>C71</f>
        <v>75542.726954672675</v>
      </c>
      <c r="G71" s="612">
        <f t="shared" si="3"/>
        <v>0</v>
      </c>
      <c r="H71" s="612">
        <f>SUM(D60:D71)</f>
        <v>42754.214361808699</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N60"/>
  <sheetViews>
    <sheetView workbookViewId="0">
      <selection activeCell="K17" sqref="K17"/>
    </sheetView>
  </sheetViews>
  <sheetFormatPr defaultRowHeight="13.2" x14ac:dyDescent="0.25"/>
  <cols>
    <col min="1" max="1" width="9.109375" style="111"/>
    <col min="2" max="2" width="23" customWidth="1"/>
    <col min="9" max="9" width="12" bestFit="1" customWidth="1"/>
  </cols>
  <sheetData>
    <row r="2" spans="1:12" x14ac:dyDescent="0.25">
      <c r="A2" s="458"/>
      <c r="B2" s="452" t="s">
        <v>321</v>
      </c>
      <c r="C2" s="439"/>
      <c r="D2" s="439"/>
      <c r="E2" s="439"/>
      <c r="F2" s="439"/>
      <c r="G2" s="439"/>
      <c r="K2">
        <v>682</v>
      </c>
    </row>
    <row r="3" spans="1:12" x14ac:dyDescent="0.25">
      <c r="A3" s="458"/>
      <c r="B3" s="439"/>
      <c r="C3" s="439"/>
      <c r="D3" s="439"/>
      <c r="E3" s="439"/>
      <c r="F3" s="439"/>
      <c r="G3" s="439"/>
      <c r="K3" t="s">
        <v>433</v>
      </c>
    </row>
    <row r="4" spans="1:12" s="108" customFormat="1" x14ac:dyDescent="0.25">
      <c r="A4" s="460" t="s">
        <v>100</v>
      </c>
      <c r="B4" s="457" t="s">
        <v>516</v>
      </c>
      <c r="C4" s="457" t="s">
        <v>517</v>
      </c>
      <c r="D4" s="457" t="s">
        <v>518</v>
      </c>
      <c r="E4" s="457" t="s">
        <v>519</v>
      </c>
      <c r="F4" s="457" t="s">
        <v>520</v>
      </c>
      <c r="G4" s="457" t="s">
        <v>521</v>
      </c>
      <c r="K4" s="108" t="s">
        <v>192</v>
      </c>
      <c r="L4" s="108" t="s">
        <v>543</v>
      </c>
    </row>
    <row r="5" spans="1:12" x14ac:dyDescent="0.25">
      <c r="A5" s="461" t="s">
        <v>185</v>
      </c>
      <c r="B5" s="453" t="s">
        <v>196</v>
      </c>
      <c r="C5" s="453">
        <f>C24+0</f>
        <v>0</v>
      </c>
      <c r="D5" s="453">
        <f t="shared" ref="D5:G5" si="0">D24+0</f>
        <v>57736800</v>
      </c>
      <c r="E5" s="453">
        <f t="shared" si="0"/>
        <v>62985600</v>
      </c>
      <c r="F5" s="453">
        <f t="shared" si="0"/>
        <v>68234400</v>
      </c>
      <c r="G5" s="453">
        <f t="shared" si="0"/>
        <v>73483200</v>
      </c>
    </row>
    <row r="6" spans="1:12" x14ac:dyDescent="0.25">
      <c r="A6" s="461" t="s">
        <v>186</v>
      </c>
      <c r="B6" s="453" t="s">
        <v>230</v>
      </c>
      <c r="C6" s="453">
        <f>C38+0</f>
        <v>1500000</v>
      </c>
      <c r="D6" s="453">
        <f t="shared" ref="D6:G6" si="1">D38+0</f>
        <v>9900000</v>
      </c>
      <c r="E6" s="453">
        <f t="shared" si="1"/>
        <v>11373000</v>
      </c>
      <c r="F6" s="453">
        <f t="shared" si="1"/>
        <v>13635600</v>
      </c>
      <c r="G6" s="453">
        <f t="shared" si="1"/>
        <v>17029200</v>
      </c>
    </row>
    <row r="7" spans="1:12" x14ac:dyDescent="0.25">
      <c r="A7" s="461" t="s">
        <v>187</v>
      </c>
      <c r="B7" s="453" t="s">
        <v>159</v>
      </c>
      <c r="C7" s="453">
        <f>C48+0</f>
        <v>0</v>
      </c>
      <c r="D7" s="453">
        <f t="shared" ref="D7:G7" si="2">D48+0</f>
        <v>359700</v>
      </c>
      <c r="E7" s="453">
        <f t="shared" si="2"/>
        <v>397650</v>
      </c>
      <c r="F7" s="453">
        <f t="shared" si="2"/>
        <v>442648</v>
      </c>
      <c r="G7" s="453">
        <f t="shared" si="2"/>
        <v>494140</v>
      </c>
    </row>
    <row r="8" spans="1:12" x14ac:dyDescent="0.25">
      <c r="A8" s="461" t="s">
        <v>188</v>
      </c>
      <c r="B8" s="453" t="s">
        <v>209</v>
      </c>
      <c r="C8" s="453">
        <f>C54+0</f>
        <v>0</v>
      </c>
      <c r="D8" s="453">
        <f t="shared" ref="D8:G8" si="3">D54+0</f>
        <v>35750</v>
      </c>
      <c r="E8" s="453">
        <f t="shared" si="3"/>
        <v>82225</v>
      </c>
      <c r="F8" s="453">
        <f t="shared" si="3"/>
        <v>98670</v>
      </c>
      <c r="G8" s="453">
        <f t="shared" si="3"/>
        <v>123337.23999999999</v>
      </c>
    </row>
    <row r="9" spans="1:12" x14ac:dyDescent="0.25">
      <c r="A9" s="461" t="s">
        <v>189</v>
      </c>
      <c r="B9" s="453" t="s">
        <v>234</v>
      </c>
      <c r="C9" s="453">
        <f>C60+0</f>
        <v>0</v>
      </c>
      <c r="D9" s="453">
        <f t="shared" ref="D9:G9" si="4">D60+0</f>
        <v>6600</v>
      </c>
      <c r="E9" s="453">
        <f t="shared" si="4"/>
        <v>7590</v>
      </c>
      <c r="F9" s="453">
        <f t="shared" si="4"/>
        <v>9108</v>
      </c>
      <c r="G9" s="453">
        <f t="shared" si="4"/>
        <v>11382</v>
      </c>
    </row>
    <row r="10" spans="1:12" x14ac:dyDescent="0.25">
      <c r="A10" s="461"/>
      <c r="B10" s="454" t="s">
        <v>213</v>
      </c>
      <c r="C10" s="454">
        <f>SUM(C5:C8)</f>
        <v>1500000</v>
      </c>
      <c r="D10" s="454">
        <f>SUM(D5:D8)</f>
        <v>68032250</v>
      </c>
      <c r="E10" s="454">
        <f>SUM(E5:E8)</f>
        <v>74838475</v>
      </c>
      <c r="F10" s="454">
        <f>SUM(F5:F8)</f>
        <v>82411318</v>
      </c>
      <c r="G10" s="454">
        <f>SUM(G5:G8)</f>
        <v>91129877.239999995</v>
      </c>
    </row>
    <row r="11" spans="1:12" x14ac:dyDescent="0.25">
      <c r="A11" s="458"/>
      <c r="B11" s="439"/>
      <c r="C11" s="439"/>
      <c r="D11" s="439"/>
      <c r="E11" s="439"/>
      <c r="F11" s="439"/>
      <c r="G11" s="439"/>
    </row>
    <row r="12" spans="1:12" x14ac:dyDescent="0.25">
      <c r="A12" s="458"/>
      <c r="B12" s="439"/>
      <c r="C12" s="439" t="s">
        <v>515</v>
      </c>
      <c r="D12" s="439" t="s">
        <v>515</v>
      </c>
      <c r="E12" s="439" t="s">
        <v>515</v>
      </c>
      <c r="F12" s="439" t="s">
        <v>515</v>
      </c>
      <c r="G12" s="439" t="s">
        <v>515</v>
      </c>
    </row>
    <row r="13" spans="1:12" x14ac:dyDescent="0.25">
      <c r="A13" s="458" t="s">
        <v>185</v>
      </c>
      <c r="B13" s="452" t="s">
        <v>196</v>
      </c>
      <c r="C13" s="439">
        <v>100</v>
      </c>
      <c r="D13" s="439">
        <v>110</v>
      </c>
      <c r="E13" s="439">
        <v>120</v>
      </c>
      <c r="F13" s="439">
        <v>130</v>
      </c>
      <c r="G13" s="439">
        <v>140</v>
      </c>
    </row>
    <row r="14" spans="1:12" x14ac:dyDescent="0.25">
      <c r="A14" s="458"/>
      <c r="B14" s="439"/>
      <c r="C14" s="439">
        <v>1</v>
      </c>
      <c r="D14" s="439">
        <v>2</v>
      </c>
      <c r="E14" s="439">
        <v>3</v>
      </c>
      <c r="F14" s="439">
        <v>4</v>
      </c>
      <c r="G14" s="439">
        <v>5</v>
      </c>
    </row>
    <row r="15" spans="1:12" x14ac:dyDescent="0.25">
      <c r="A15" s="458"/>
      <c r="B15" s="453" t="s">
        <v>192</v>
      </c>
      <c r="C15" s="453">
        <v>0</v>
      </c>
      <c r="D15" s="453">
        <v>330</v>
      </c>
      <c r="E15" s="453">
        <v>330</v>
      </c>
      <c r="F15" s="453">
        <v>330</v>
      </c>
      <c r="G15" s="453">
        <v>330</v>
      </c>
      <c r="J15" s="439"/>
    </row>
    <row r="16" spans="1:12" x14ac:dyDescent="0.25">
      <c r="A16" s="458"/>
      <c r="B16" s="453" t="s">
        <v>158</v>
      </c>
      <c r="C16" s="453">
        <v>0</v>
      </c>
      <c r="D16" s="453">
        <v>100</v>
      </c>
      <c r="E16" s="453">
        <v>100</v>
      </c>
      <c r="F16" s="453">
        <v>100</v>
      </c>
      <c r="G16" s="453">
        <v>100</v>
      </c>
    </row>
    <row r="17" spans="1:14" ht="31.2" x14ac:dyDescent="0.25">
      <c r="A17" s="458"/>
      <c r="B17" s="455" t="s">
        <v>191</v>
      </c>
      <c r="C17" s="453"/>
      <c r="D17" s="453"/>
      <c r="E17" s="453"/>
      <c r="F17" s="453"/>
      <c r="G17" s="453"/>
    </row>
    <row r="18" spans="1:14" x14ac:dyDescent="0.25">
      <c r="A18" s="458"/>
      <c r="B18" s="455" t="s">
        <v>438</v>
      </c>
      <c r="C18" s="453">
        <f>C16*C15</f>
        <v>0</v>
      </c>
      <c r="D18" s="453">
        <f t="shared" ref="D18:G18" si="5">D16*D15</f>
        <v>33000</v>
      </c>
      <c r="E18" s="453">
        <f t="shared" si="5"/>
        <v>33000</v>
      </c>
      <c r="F18" s="453">
        <f t="shared" si="5"/>
        <v>33000</v>
      </c>
      <c r="G18" s="453">
        <f t="shared" si="5"/>
        <v>33000</v>
      </c>
    </row>
    <row r="19" spans="1:14" x14ac:dyDescent="0.25">
      <c r="A19" s="458"/>
      <c r="B19" s="453" t="s">
        <v>431</v>
      </c>
      <c r="C19" s="453">
        <f>C16*20%</f>
        <v>0</v>
      </c>
      <c r="D19" s="453">
        <f>D16*2%</f>
        <v>2</v>
      </c>
      <c r="E19" s="453">
        <f>E16*2%</f>
        <v>2</v>
      </c>
      <c r="F19" s="453">
        <f>F16*2%</f>
        <v>2</v>
      </c>
      <c r="G19" s="453">
        <f>G16*2%</f>
        <v>2</v>
      </c>
    </row>
    <row r="20" spans="1:14" x14ac:dyDescent="0.25">
      <c r="A20" s="458"/>
      <c r="B20" s="453" t="s">
        <v>194</v>
      </c>
      <c r="C20" s="453">
        <f>C16-C19</f>
        <v>0</v>
      </c>
      <c r="D20" s="453">
        <f>D18-600</f>
        <v>32400</v>
      </c>
      <c r="E20" s="453">
        <f t="shared" ref="E20:G20" si="6">E18-600</f>
        <v>32400</v>
      </c>
      <c r="F20" s="453">
        <f t="shared" si="6"/>
        <v>32400</v>
      </c>
      <c r="G20" s="453">
        <f t="shared" si="6"/>
        <v>32400</v>
      </c>
    </row>
    <row r="21" spans="1:14" x14ac:dyDescent="0.25">
      <c r="A21" s="458"/>
      <c r="B21" s="453" t="s">
        <v>202</v>
      </c>
      <c r="C21" s="453">
        <f>C20*40%</f>
        <v>0</v>
      </c>
      <c r="D21" s="453">
        <f>D20*40%</f>
        <v>12960</v>
      </c>
      <c r="E21" s="453">
        <f t="shared" ref="E21:G21" si="7">E20*40%</f>
        <v>12960</v>
      </c>
      <c r="F21" s="453">
        <f t="shared" si="7"/>
        <v>12960</v>
      </c>
      <c r="G21" s="453">
        <f t="shared" si="7"/>
        <v>12960</v>
      </c>
    </row>
    <row r="22" spans="1:14" x14ac:dyDescent="0.25">
      <c r="A22" s="458"/>
      <c r="B22" s="453" t="s">
        <v>203</v>
      </c>
      <c r="C22" s="453">
        <f>C20*60%</f>
        <v>0</v>
      </c>
      <c r="D22" s="453">
        <f>D20*60%</f>
        <v>19440</v>
      </c>
      <c r="E22" s="453">
        <f t="shared" ref="E22:G22" si="8">E20*60%</f>
        <v>19440</v>
      </c>
      <c r="F22" s="453">
        <f t="shared" si="8"/>
        <v>19440</v>
      </c>
      <c r="G22" s="453">
        <f t="shared" si="8"/>
        <v>19440</v>
      </c>
    </row>
    <row r="23" spans="1:14" x14ac:dyDescent="0.25">
      <c r="A23" s="458"/>
      <c r="B23" s="455" t="s">
        <v>195</v>
      </c>
      <c r="C23" s="453">
        <v>7.5</v>
      </c>
      <c r="D23" s="453">
        <f>C23*D13%</f>
        <v>8.25</v>
      </c>
      <c r="E23" s="453">
        <f>C23*E13%</f>
        <v>9</v>
      </c>
      <c r="F23" s="453">
        <f>C23*F13%</f>
        <v>9.75</v>
      </c>
      <c r="G23" s="453">
        <f>C23*G13%</f>
        <v>10.5</v>
      </c>
      <c r="H23" s="114"/>
    </row>
    <row r="24" spans="1:14" x14ac:dyDescent="0.25">
      <c r="A24" s="458"/>
      <c r="B24" s="456" t="s">
        <v>197</v>
      </c>
      <c r="C24" s="456">
        <f>C22*30*12*C23*300</f>
        <v>0</v>
      </c>
      <c r="D24" s="456">
        <f>D22*30*12*D23</f>
        <v>57736800</v>
      </c>
      <c r="E24" s="456">
        <f>E22*30*12*E23</f>
        <v>62985600</v>
      </c>
      <c r="F24" s="456">
        <f>F22*30*12*F23</f>
        <v>68234400</v>
      </c>
      <c r="G24" s="456">
        <f>G22*30*12*G23</f>
        <v>73483200</v>
      </c>
      <c r="J24">
        <v>98</v>
      </c>
      <c r="L24">
        <v>250</v>
      </c>
      <c r="M24">
        <f>L24*J24</f>
        <v>24500</v>
      </c>
      <c r="N24">
        <f>M24*365</f>
        <v>8942500</v>
      </c>
    </row>
    <row r="25" spans="1:14" x14ac:dyDescent="0.25">
      <c r="A25" s="458"/>
      <c r="B25" s="439"/>
      <c r="C25" s="439"/>
      <c r="D25" s="439"/>
      <c r="E25" s="439"/>
      <c r="F25" s="439"/>
      <c r="G25" s="439"/>
    </row>
    <row r="26" spans="1:14" x14ac:dyDescent="0.25">
      <c r="A26" s="458"/>
      <c r="B26" s="439" t="s">
        <v>551</v>
      </c>
      <c r="C26" s="439"/>
      <c r="D26" s="439"/>
      <c r="E26" s="439"/>
      <c r="F26" s="439"/>
      <c r="G26" s="439"/>
      <c r="H26">
        <f>19440*365</f>
        <v>7095600</v>
      </c>
      <c r="I26">
        <f>32400*330*365</f>
        <v>3902580000</v>
      </c>
    </row>
    <row r="27" spans="1:14" x14ac:dyDescent="0.25">
      <c r="A27" s="458"/>
      <c r="B27" s="439"/>
      <c r="C27" s="439"/>
      <c r="D27" s="439"/>
      <c r="E27" s="439"/>
      <c r="F27" s="439"/>
      <c r="G27" s="439"/>
    </row>
    <row r="28" spans="1:14" x14ac:dyDescent="0.25">
      <c r="A28" s="458"/>
      <c r="B28" s="439"/>
      <c r="C28" s="439"/>
      <c r="D28" s="439"/>
      <c r="E28" s="439"/>
      <c r="F28" s="439"/>
      <c r="G28" s="439"/>
    </row>
    <row r="29" spans="1:14" x14ac:dyDescent="0.25">
      <c r="A29" s="458" t="s">
        <v>186</v>
      </c>
      <c r="B29" s="452" t="s">
        <v>230</v>
      </c>
      <c r="C29" s="439">
        <v>100</v>
      </c>
      <c r="D29" s="439">
        <v>110</v>
      </c>
      <c r="E29" s="439">
        <v>115</v>
      </c>
      <c r="F29" s="439">
        <v>120</v>
      </c>
      <c r="G29" s="439">
        <v>125</v>
      </c>
    </row>
    <row r="30" spans="1:14" x14ac:dyDescent="0.25">
      <c r="A30" s="458"/>
      <c r="B30" s="453" t="s">
        <v>198</v>
      </c>
      <c r="C30" s="453">
        <f>5000*2</f>
        <v>10000</v>
      </c>
      <c r="D30" s="453">
        <f t="shared" ref="D30:G30" si="9">5000*12</f>
        <v>60000</v>
      </c>
      <c r="E30" s="453">
        <f t="shared" si="9"/>
        <v>60000</v>
      </c>
      <c r="F30" s="453">
        <f t="shared" si="9"/>
        <v>60000</v>
      </c>
      <c r="G30" s="453">
        <f t="shared" si="9"/>
        <v>60000</v>
      </c>
    </row>
    <row r="31" spans="1:14" x14ac:dyDescent="0.25">
      <c r="A31" s="458"/>
      <c r="B31" s="453" t="s">
        <v>193</v>
      </c>
      <c r="C31" s="453">
        <v>80</v>
      </c>
      <c r="D31" s="453">
        <v>88</v>
      </c>
      <c r="E31" s="453">
        <v>101</v>
      </c>
      <c r="F31" s="453">
        <v>121</v>
      </c>
      <c r="G31" s="453">
        <v>151</v>
      </c>
    </row>
    <row r="32" spans="1:14" x14ac:dyDescent="0.25">
      <c r="A32" s="458"/>
      <c r="B32" s="457" t="s">
        <v>199</v>
      </c>
      <c r="C32" s="457">
        <f>C30*C31</f>
        <v>800000</v>
      </c>
      <c r="D32" s="457">
        <f t="shared" ref="D32:G32" si="10">D30*D31</f>
        <v>5280000</v>
      </c>
      <c r="E32" s="457">
        <f t="shared" si="10"/>
        <v>6060000</v>
      </c>
      <c r="F32" s="457">
        <f t="shared" si="10"/>
        <v>7260000</v>
      </c>
      <c r="G32" s="457">
        <f t="shared" si="10"/>
        <v>9060000</v>
      </c>
    </row>
    <row r="33" spans="1:7" x14ac:dyDescent="0.25">
      <c r="A33" s="458"/>
      <c r="B33" s="453"/>
      <c r="C33" s="453"/>
      <c r="D33" s="453"/>
      <c r="E33" s="453"/>
      <c r="F33" s="453"/>
      <c r="G33" s="453"/>
    </row>
    <row r="34" spans="1:7" x14ac:dyDescent="0.25">
      <c r="A34" s="458"/>
      <c r="B34" s="453" t="s">
        <v>200</v>
      </c>
      <c r="C34" s="453">
        <f>5000*2</f>
        <v>10000</v>
      </c>
      <c r="D34" s="453">
        <f t="shared" ref="D34:G34" si="11">5000*12</f>
        <v>60000</v>
      </c>
      <c r="E34" s="453">
        <f t="shared" si="11"/>
        <v>60000</v>
      </c>
      <c r="F34" s="453">
        <f t="shared" si="11"/>
        <v>60000</v>
      </c>
      <c r="G34" s="453">
        <f t="shared" si="11"/>
        <v>60000</v>
      </c>
    </row>
    <row r="35" spans="1:7" x14ac:dyDescent="0.25">
      <c r="A35" s="458"/>
      <c r="B35" s="453" t="s">
        <v>193</v>
      </c>
      <c r="C35" s="453">
        <v>70</v>
      </c>
      <c r="D35" s="453">
        <v>77</v>
      </c>
      <c r="E35" s="453">
        <v>88.55</v>
      </c>
      <c r="F35" s="453">
        <v>106.26</v>
      </c>
      <c r="G35" s="453">
        <v>132.82</v>
      </c>
    </row>
    <row r="36" spans="1:7" x14ac:dyDescent="0.25">
      <c r="A36" s="458"/>
      <c r="B36" s="457" t="s">
        <v>201</v>
      </c>
      <c r="C36" s="457">
        <f>C34*C35</f>
        <v>700000</v>
      </c>
      <c r="D36" s="457">
        <f t="shared" ref="D36:G36" si="12">D34*D35</f>
        <v>4620000</v>
      </c>
      <c r="E36" s="457">
        <f t="shared" si="12"/>
        <v>5313000</v>
      </c>
      <c r="F36" s="457">
        <f t="shared" si="12"/>
        <v>6375600</v>
      </c>
      <c r="G36" s="457">
        <f t="shared" si="12"/>
        <v>7969200</v>
      </c>
    </row>
    <row r="37" spans="1:7" x14ac:dyDescent="0.25">
      <c r="A37" s="458"/>
      <c r="B37" s="453"/>
      <c r="C37" s="453"/>
      <c r="D37" s="453"/>
      <c r="E37" s="453"/>
      <c r="F37" s="453"/>
      <c r="G37" s="453"/>
    </row>
    <row r="38" spans="1:7" x14ac:dyDescent="0.25">
      <c r="A38" s="458"/>
      <c r="B38" s="454" t="s">
        <v>204</v>
      </c>
      <c r="C38" s="456">
        <f>C32+C36</f>
        <v>1500000</v>
      </c>
      <c r="D38" s="456">
        <f>D32+D36</f>
        <v>9900000</v>
      </c>
      <c r="E38" s="456">
        <f>E32+E36</f>
        <v>11373000</v>
      </c>
      <c r="F38" s="456">
        <f>F32+F36</f>
        <v>13635600</v>
      </c>
      <c r="G38" s="456">
        <f>G32+G36</f>
        <v>17029200</v>
      </c>
    </row>
    <row r="39" spans="1:7" x14ac:dyDescent="0.25">
      <c r="A39" s="458"/>
      <c r="B39" s="439"/>
      <c r="C39" s="439"/>
      <c r="D39" s="439"/>
      <c r="E39" s="439"/>
      <c r="F39" s="439"/>
      <c r="G39" s="439"/>
    </row>
    <row r="40" spans="1:7" x14ac:dyDescent="0.25">
      <c r="A40" s="458"/>
      <c r="B40" s="439"/>
      <c r="C40" s="439"/>
      <c r="D40" s="439"/>
      <c r="E40" s="439"/>
      <c r="F40" s="439"/>
      <c r="G40" s="439"/>
    </row>
    <row r="41" spans="1:7" x14ac:dyDescent="0.25">
      <c r="A41" s="458" t="s">
        <v>187</v>
      </c>
      <c r="B41" s="452" t="s">
        <v>159</v>
      </c>
      <c r="C41" s="439"/>
      <c r="D41" s="439"/>
      <c r="E41" s="439"/>
      <c r="F41" s="439"/>
      <c r="G41" s="439"/>
    </row>
    <row r="42" spans="1:7" x14ac:dyDescent="0.25">
      <c r="A42" s="458"/>
      <c r="B42" s="453" t="s">
        <v>205</v>
      </c>
      <c r="C42" s="453">
        <v>0</v>
      </c>
      <c r="D42" s="453">
        <v>970</v>
      </c>
      <c r="E42" s="453">
        <v>970</v>
      </c>
      <c r="F42" s="453">
        <v>970</v>
      </c>
      <c r="G42" s="453">
        <v>970</v>
      </c>
    </row>
    <row r="43" spans="1:7" x14ac:dyDescent="0.25">
      <c r="A43" s="458"/>
      <c r="B43" s="453" t="s">
        <v>193</v>
      </c>
      <c r="C43" s="453">
        <v>300</v>
      </c>
      <c r="D43" s="453">
        <v>330</v>
      </c>
      <c r="E43" s="453">
        <v>363</v>
      </c>
      <c r="F43" s="453">
        <v>400</v>
      </c>
      <c r="G43" s="453">
        <v>439</v>
      </c>
    </row>
    <row r="44" spans="1:7" x14ac:dyDescent="0.25">
      <c r="A44" s="458"/>
      <c r="B44" s="457" t="s">
        <v>206</v>
      </c>
      <c r="C44" s="457">
        <f>C42*C43</f>
        <v>0</v>
      </c>
      <c r="D44" s="457">
        <f t="shared" ref="D44:G44" si="13">D42*D43</f>
        <v>320100</v>
      </c>
      <c r="E44" s="457">
        <f t="shared" si="13"/>
        <v>352110</v>
      </c>
      <c r="F44" s="457">
        <f t="shared" si="13"/>
        <v>388000</v>
      </c>
      <c r="G44" s="457">
        <f t="shared" si="13"/>
        <v>425830</v>
      </c>
    </row>
    <row r="45" spans="1:7" x14ac:dyDescent="0.25">
      <c r="A45" s="458"/>
      <c r="B45" s="453" t="s">
        <v>235</v>
      </c>
      <c r="C45" s="453">
        <v>0</v>
      </c>
      <c r="D45" s="453">
        <v>120</v>
      </c>
      <c r="E45" s="453">
        <v>120</v>
      </c>
      <c r="F45" s="453">
        <v>120</v>
      </c>
      <c r="G45" s="453">
        <v>120</v>
      </c>
    </row>
    <row r="46" spans="1:7" x14ac:dyDescent="0.25">
      <c r="A46" s="458"/>
      <c r="B46" s="453" t="s">
        <v>193</v>
      </c>
      <c r="C46" s="453">
        <v>300</v>
      </c>
      <c r="D46" s="453">
        <v>330</v>
      </c>
      <c r="E46" s="453">
        <v>379.5</v>
      </c>
      <c r="F46" s="453">
        <v>455.4</v>
      </c>
      <c r="G46" s="453">
        <v>569.25</v>
      </c>
    </row>
    <row r="47" spans="1:7" x14ac:dyDescent="0.25">
      <c r="A47" s="458"/>
      <c r="B47" s="457" t="s">
        <v>207</v>
      </c>
      <c r="C47" s="457">
        <f>C45*C46</f>
        <v>0</v>
      </c>
      <c r="D47" s="457">
        <f t="shared" ref="D47:G47" si="14">D45*D46</f>
        <v>39600</v>
      </c>
      <c r="E47" s="457">
        <f t="shared" si="14"/>
        <v>45540</v>
      </c>
      <c r="F47" s="457">
        <f t="shared" si="14"/>
        <v>54648</v>
      </c>
      <c r="G47" s="457">
        <f t="shared" si="14"/>
        <v>68310</v>
      </c>
    </row>
    <row r="48" spans="1:7" x14ac:dyDescent="0.25">
      <c r="A48" s="458"/>
      <c r="B48" s="454" t="s">
        <v>208</v>
      </c>
      <c r="C48" s="454">
        <f>C44+C47</f>
        <v>0</v>
      </c>
      <c r="D48" s="454">
        <f t="shared" ref="D48:G48" si="15">D44+D47</f>
        <v>359700</v>
      </c>
      <c r="E48" s="454">
        <f t="shared" si="15"/>
        <v>397650</v>
      </c>
      <c r="F48" s="454">
        <f t="shared" si="15"/>
        <v>442648</v>
      </c>
      <c r="G48" s="454">
        <f t="shared" si="15"/>
        <v>494140</v>
      </c>
    </row>
    <row r="49" spans="1:7" x14ac:dyDescent="0.25">
      <c r="A49" s="458"/>
      <c r="B49" s="439"/>
      <c r="C49" s="439"/>
      <c r="D49" s="439"/>
      <c r="E49" s="439"/>
      <c r="F49" s="439"/>
      <c r="G49" s="439"/>
    </row>
    <row r="50" spans="1:7" x14ac:dyDescent="0.25">
      <c r="A50" s="458"/>
      <c r="B50" s="439"/>
      <c r="C50" s="439"/>
      <c r="D50" s="439"/>
      <c r="E50" s="439"/>
      <c r="F50" s="439"/>
      <c r="G50" s="439"/>
    </row>
    <row r="51" spans="1:7" x14ac:dyDescent="0.25">
      <c r="A51" s="459" t="s">
        <v>188</v>
      </c>
      <c r="B51" s="452" t="s">
        <v>209</v>
      </c>
      <c r="C51" s="439"/>
      <c r="D51" s="439"/>
      <c r="E51" s="439"/>
      <c r="F51" s="439"/>
      <c r="G51" s="439"/>
    </row>
    <row r="52" spans="1:7" x14ac:dyDescent="0.25">
      <c r="A52" s="458"/>
      <c r="B52" s="453" t="s">
        <v>210</v>
      </c>
      <c r="C52" s="453">
        <v>0</v>
      </c>
      <c r="D52" s="453">
        <v>26</v>
      </c>
      <c r="E52" s="453">
        <v>52</v>
      </c>
      <c r="F52" s="453">
        <f t="shared" ref="F52:G52" si="16">E52</f>
        <v>52</v>
      </c>
      <c r="G52" s="453">
        <f t="shared" si="16"/>
        <v>52</v>
      </c>
    </row>
    <row r="53" spans="1:7" x14ac:dyDescent="0.25">
      <c r="A53" s="458"/>
      <c r="B53" s="453" t="s">
        <v>211</v>
      </c>
      <c r="C53" s="453">
        <v>1250</v>
      </c>
      <c r="D53" s="453">
        <v>1375</v>
      </c>
      <c r="E53" s="453">
        <v>1581.25</v>
      </c>
      <c r="F53" s="453">
        <v>1897.5</v>
      </c>
      <c r="G53" s="453">
        <v>2371.87</v>
      </c>
    </row>
    <row r="54" spans="1:7" x14ac:dyDescent="0.25">
      <c r="A54" s="458"/>
      <c r="B54" s="454" t="s">
        <v>212</v>
      </c>
      <c r="C54" s="454">
        <f>C52*C53</f>
        <v>0</v>
      </c>
      <c r="D54" s="454">
        <f t="shared" ref="D54:G54" si="17">D52*D53</f>
        <v>35750</v>
      </c>
      <c r="E54" s="454">
        <f t="shared" si="17"/>
        <v>82225</v>
      </c>
      <c r="F54" s="454">
        <f t="shared" si="17"/>
        <v>98670</v>
      </c>
      <c r="G54" s="454">
        <f t="shared" si="17"/>
        <v>123337.23999999999</v>
      </c>
    </row>
    <row r="55" spans="1:7" x14ac:dyDescent="0.25">
      <c r="A55" s="458"/>
      <c r="B55" s="439"/>
      <c r="C55" s="439"/>
      <c r="D55" s="439"/>
      <c r="E55" s="439"/>
      <c r="F55" s="439"/>
      <c r="G55" s="439"/>
    </row>
    <row r="56" spans="1:7" x14ac:dyDescent="0.25">
      <c r="A56" s="458"/>
      <c r="B56" s="439"/>
      <c r="C56" s="439"/>
      <c r="D56" s="439"/>
      <c r="E56" s="439"/>
      <c r="F56" s="439"/>
      <c r="G56" s="439"/>
    </row>
    <row r="57" spans="1:7" x14ac:dyDescent="0.25">
      <c r="A57" s="458" t="s">
        <v>189</v>
      </c>
      <c r="B57" s="452" t="s">
        <v>231</v>
      </c>
      <c r="C57" s="439"/>
      <c r="D57" s="439"/>
      <c r="E57" s="439"/>
      <c r="F57" s="439"/>
      <c r="G57" s="439"/>
    </row>
    <row r="58" spans="1:7" x14ac:dyDescent="0.25">
      <c r="A58" s="458"/>
      <c r="B58" s="457" t="s">
        <v>232</v>
      </c>
      <c r="C58" s="453">
        <v>0</v>
      </c>
      <c r="D58" s="453">
        <f>50*12</f>
        <v>600</v>
      </c>
      <c r="E58" s="453">
        <f t="shared" ref="E58:G58" si="18">50*12</f>
        <v>600</v>
      </c>
      <c r="F58" s="453">
        <f t="shared" si="18"/>
        <v>600</v>
      </c>
      <c r="G58" s="453">
        <f t="shared" si="18"/>
        <v>600</v>
      </c>
    </row>
    <row r="59" spans="1:7" x14ac:dyDescent="0.25">
      <c r="A59" s="458"/>
      <c r="B59" s="453" t="s">
        <v>233</v>
      </c>
      <c r="C59" s="453">
        <v>10</v>
      </c>
      <c r="D59" s="453">
        <v>11</v>
      </c>
      <c r="E59" s="453">
        <v>12.65</v>
      </c>
      <c r="F59" s="453">
        <v>15.18</v>
      </c>
      <c r="G59" s="453">
        <v>18.97</v>
      </c>
    </row>
    <row r="60" spans="1:7" x14ac:dyDescent="0.25">
      <c r="A60" s="458"/>
      <c r="B60" s="454" t="s">
        <v>234</v>
      </c>
      <c r="C60" s="454">
        <f>C58*C59</f>
        <v>0</v>
      </c>
      <c r="D60" s="454">
        <f t="shared" ref="D60:G60" si="19">D58*D59</f>
        <v>6600</v>
      </c>
      <c r="E60" s="454">
        <f t="shared" si="19"/>
        <v>7590</v>
      </c>
      <c r="F60" s="454">
        <f t="shared" si="19"/>
        <v>9108</v>
      </c>
      <c r="G60" s="454">
        <f t="shared" si="19"/>
        <v>11382</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5:G124"/>
  <sheetViews>
    <sheetView workbookViewId="0">
      <selection activeCell="J17" sqref="J17"/>
    </sheetView>
  </sheetViews>
  <sheetFormatPr defaultRowHeight="13.2" x14ac:dyDescent="0.25"/>
  <cols>
    <col min="1" max="1" width="14.109375" customWidth="1"/>
    <col min="2" max="2" width="19.5546875" customWidth="1"/>
    <col min="3" max="5" width="10.44140625" bestFit="1" customWidth="1"/>
    <col min="6" max="7" width="10" bestFit="1" customWidth="1"/>
  </cols>
  <sheetData>
    <row r="5" spans="1:7" x14ac:dyDescent="0.25">
      <c r="B5" s="452" t="s">
        <v>323</v>
      </c>
      <c r="C5" s="439"/>
      <c r="D5" s="439"/>
      <c r="E5" s="439"/>
      <c r="F5" s="439"/>
      <c r="G5" s="439"/>
    </row>
    <row r="6" spans="1:7" x14ac:dyDescent="0.25">
      <c r="B6" s="452"/>
      <c r="C6" s="439"/>
      <c r="D6" s="439"/>
      <c r="E6" s="439"/>
      <c r="F6" s="439"/>
      <c r="G6" s="439"/>
    </row>
    <row r="7" spans="1:7" x14ac:dyDescent="0.25">
      <c r="B7" s="452" t="s">
        <v>214</v>
      </c>
      <c r="C7" s="439"/>
      <c r="D7" s="439"/>
      <c r="E7" s="439"/>
      <c r="F7" s="439"/>
      <c r="G7" s="439"/>
    </row>
    <row r="8" spans="1:7" x14ac:dyDescent="0.25">
      <c r="B8" s="452"/>
      <c r="C8" s="452">
        <v>1</v>
      </c>
      <c r="D8" s="452">
        <v>2</v>
      </c>
      <c r="E8" s="452">
        <v>3</v>
      </c>
      <c r="F8" s="452">
        <v>4</v>
      </c>
      <c r="G8" s="452">
        <v>5</v>
      </c>
    </row>
    <row r="9" spans="1:7" x14ac:dyDescent="0.25">
      <c r="B9" s="462" t="s">
        <v>214</v>
      </c>
      <c r="C9" s="457" t="s">
        <v>517</v>
      </c>
      <c r="D9" s="457" t="s">
        <v>518</v>
      </c>
      <c r="E9" s="457" t="s">
        <v>519</v>
      </c>
      <c r="F9" s="457" t="s">
        <v>520</v>
      </c>
      <c r="G9" s="457" t="s">
        <v>521</v>
      </c>
    </row>
    <row r="10" spans="1:7" x14ac:dyDescent="0.25">
      <c r="A10">
        <v>1</v>
      </c>
      <c r="B10" s="463" t="s">
        <v>522</v>
      </c>
      <c r="C10" s="453">
        <f>C22+0</f>
        <v>0</v>
      </c>
      <c r="D10" s="453">
        <f t="shared" ref="D10:G10" si="0">D22+0</f>
        <v>46189440</v>
      </c>
      <c r="E10" s="453">
        <f t="shared" si="0"/>
        <v>48288960</v>
      </c>
      <c r="F10" s="453">
        <f t="shared" si="0"/>
        <v>50388480</v>
      </c>
      <c r="G10" s="453">
        <f t="shared" si="0"/>
        <v>52488000</v>
      </c>
    </row>
    <row r="11" spans="1:7" x14ac:dyDescent="0.25">
      <c r="A11">
        <v>2</v>
      </c>
      <c r="B11" s="464" t="s">
        <v>523</v>
      </c>
      <c r="C11" s="453">
        <f>C26+0</f>
        <v>0</v>
      </c>
      <c r="D11" s="453">
        <f t="shared" ref="D11:G11" si="1">D26+0</f>
        <v>699840</v>
      </c>
      <c r="E11" s="453">
        <f t="shared" si="1"/>
        <v>769824</v>
      </c>
      <c r="F11" s="453">
        <f t="shared" si="1"/>
        <v>769824</v>
      </c>
      <c r="G11" s="453">
        <f t="shared" si="1"/>
        <v>769824</v>
      </c>
    </row>
    <row r="12" spans="1:7" x14ac:dyDescent="0.25">
      <c r="A12">
        <v>3</v>
      </c>
      <c r="B12" s="453" t="s">
        <v>524</v>
      </c>
      <c r="C12" s="453">
        <f>C30+0</f>
        <v>0</v>
      </c>
      <c r="D12" s="453">
        <f t="shared" ref="D12:G12" si="2">D30+0</f>
        <v>3569184</v>
      </c>
      <c r="E12" s="453">
        <f t="shared" si="2"/>
        <v>3639168</v>
      </c>
      <c r="F12" s="453">
        <f t="shared" si="2"/>
        <v>3709152</v>
      </c>
      <c r="G12" s="453">
        <f t="shared" si="2"/>
        <v>3779136.0000000005</v>
      </c>
    </row>
    <row r="13" spans="1:7" x14ac:dyDescent="0.25">
      <c r="A13">
        <v>4</v>
      </c>
      <c r="B13" s="453" t="s">
        <v>525</v>
      </c>
      <c r="C13" s="465">
        <f>C100</f>
        <v>1969600</v>
      </c>
      <c r="D13" s="465">
        <f>D100</f>
        <v>5929600</v>
      </c>
      <c r="E13" s="465">
        <f>E100</f>
        <v>6018544</v>
      </c>
      <c r="F13" s="465">
        <f>F100</f>
        <v>6108822.1599999992</v>
      </c>
      <c r="G13" s="465">
        <f>G100</f>
        <v>6200454.492399998</v>
      </c>
    </row>
    <row r="14" spans="1:7" x14ac:dyDescent="0.25">
      <c r="A14">
        <v>4</v>
      </c>
      <c r="B14" s="453" t="s">
        <v>526</v>
      </c>
      <c r="C14" s="465">
        <f>C119</f>
        <v>66653</v>
      </c>
      <c r="D14" s="465">
        <f>D119</f>
        <v>246653</v>
      </c>
      <c r="E14" s="465">
        <f>E119</f>
        <v>258446.47500000001</v>
      </c>
      <c r="F14" s="465">
        <f>F119</f>
        <v>270821.53612499998</v>
      </c>
      <c r="G14" s="465">
        <f>G119</f>
        <v>283807.14136687503</v>
      </c>
    </row>
    <row r="15" spans="1:7" x14ac:dyDescent="0.25">
      <c r="A15">
        <v>5</v>
      </c>
      <c r="B15" s="453" t="s">
        <v>527</v>
      </c>
      <c r="C15" s="465">
        <v>198000</v>
      </c>
      <c r="D15" s="465">
        <f>C15*110%</f>
        <v>217800.00000000003</v>
      </c>
      <c r="E15" s="465">
        <f>C15*115%</f>
        <v>227699.99999999997</v>
      </c>
      <c r="F15" s="465">
        <f>C15*120%</f>
        <v>237600</v>
      </c>
      <c r="G15" s="465">
        <f>C15*125%</f>
        <v>247500</v>
      </c>
    </row>
    <row r="16" spans="1:7" x14ac:dyDescent="0.25">
      <c r="B16" s="466" t="s">
        <v>221</v>
      </c>
      <c r="C16" s="467">
        <f>SUM(C10:C15)</f>
        <v>2234253</v>
      </c>
      <c r="D16" s="467">
        <f t="shared" ref="D16:G16" si="3">SUM(D10:D15)</f>
        <v>56852517</v>
      </c>
      <c r="E16" s="468">
        <f t="shared" si="3"/>
        <v>59202642.475000001</v>
      </c>
      <c r="F16" s="468">
        <f t="shared" si="3"/>
        <v>61484699.696124993</v>
      </c>
      <c r="G16" s="468">
        <f t="shared" si="3"/>
        <v>63768721.633766875</v>
      </c>
    </row>
    <row r="17" spans="1:7" x14ac:dyDescent="0.25">
      <c r="B17" s="439"/>
      <c r="C17" s="439"/>
      <c r="D17" s="439"/>
      <c r="E17" s="439"/>
      <c r="F17" s="439"/>
      <c r="G17" s="439"/>
    </row>
    <row r="18" spans="1:7" x14ac:dyDescent="0.25">
      <c r="B18" s="439"/>
      <c r="C18" s="439"/>
      <c r="D18" s="439"/>
      <c r="E18" s="439"/>
      <c r="F18" s="439"/>
      <c r="G18" s="439"/>
    </row>
    <row r="19" spans="1:7" x14ac:dyDescent="0.25">
      <c r="B19" s="439"/>
      <c r="C19" s="439">
        <v>100</v>
      </c>
      <c r="D19" s="439">
        <v>110</v>
      </c>
      <c r="E19" s="439">
        <v>115</v>
      </c>
      <c r="F19" s="439">
        <v>120</v>
      </c>
      <c r="G19" s="439">
        <v>125</v>
      </c>
    </row>
    <row r="20" spans="1:7" x14ac:dyDescent="0.25">
      <c r="A20">
        <v>1</v>
      </c>
      <c r="B20" s="469" t="s">
        <v>528</v>
      </c>
      <c r="C20" s="453">
        <f>'8.Sales'!C22+0</f>
        <v>0</v>
      </c>
      <c r="D20" s="453">
        <f>'8.Sales'!D22+0</f>
        <v>19440</v>
      </c>
      <c r="E20" s="453">
        <f>'8.Sales'!E22+0</f>
        <v>19440</v>
      </c>
      <c r="F20" s="453">
        <f>'8.Sales'!F22+0</f>
        <v>19440</v>
      </c>
      <c r="G20" s="453">
        <f>'8.Sales'!G22+0</f>
        <v>19440</v>
      </c>
    </row>
    <row r="21" spans="1:7" x14ac:dyDescent="0.25">
      <c r="B21" s="453" t="s">
        <v>217</v>
      </c>
      <c r="C21" s="453">
        <v>6</v>
      </c>
      <c r="D21" s="453">
        <v>6.6</v>
      </c>
      <c r="E21" s="453">
        <v>6.9</v>
      </c>
      <c r="F21" s="453">
        <v>7.2</v>
      </c>
      <c r="G21" s="453">
        <v>7.5</v>
      </c>
    </row>
    <row r="22" spans="1:7" x14ac:dyDescent="0.25">
      <c r="B22" s="456" t="s">
        <v>218</v>
      </c>
      <c r="C22" s="456">
        <f>C20*30*12*C21</f>
        <v>0</v>
      </c>
      <c r="D22" s="456">
        <f t="shared" ref="D22:G22" si="4">D20*30*12*D21</f>
        <v>46189440</v>
      </c>
      <c r="E22" s="456">
        <f t="shared" si="4"/>
        <v>48288960</v>
      </c>
      <c r="F22" s="456">
        <f t="shared" si="4"/>
        <v>50388480</v>
      </c>
      <c r="G22" s="456">
        <f t="shared" si="4"/>
        <v>52488000</v>
      </c>
    </row>
    <row r="23" spans="1:7" x14ac:dyDescent="0.25">
      <c r="B23" s="439"/>
      <c r="C23" s="439"/>
      <c r="D23" s="439"/>
      <c r="E23" s="439"/>
      <c r="F23" s="439"/>
      <c r="G23" s="439"/>
    </row>
    <row r="24" spans="1:7" x14ac:dyDescent="0.25">
      <c r="A24">
        <v>2</v>
      </c>
      <c r="B24" s="470" t="s">
        <v>523</v>
      </c>
      <c r="C24" s="453">
        <f>C20+0</f>
        <v>0</v>
      </c>
      <c r="D24" s="453">
        <f t="shared" ref="D24:G24" si="5">D20+0</f>
        <v>19440</v>
      </c>
      <c r="E24" s="453">
        <f t="shared" si="5"/>
        <v>19440</v>
      </c>
      <c r="F24" s="453">
        <f t="shared" si="5"/>
        <v>19440</v>
      </c>
      <c r="G24" s="453">
        <f t="shared" si="5"/>
        <v>19440</v>
      </c>
    </row>
    <row r="25" spans="1:7" x14ac:dyDescent="0.25">
      <c r="B25" s="453" t="s">
        <v>219</v>
      </c>
      <c r="C25" s="471">
        <v>0.1</v>
      </c>
      <c r="D25" s="471">
        <v>0.1</v>
      </c>
      <c r="E25" s="471">
        <v>0.11</v>
      </c>
      <c r="F25" s="471">
        <v>0.11</v>
      </c>
      <c r="G25" s="471">
        <v>0.11</v>
      </c>
    </row>
    <row r="26" spans="1:7" x14ac:dyDescent="0.25">
      <c r="B26" s="456" t="s">
        <v>1</v>
      </c>
      <c r="C26" s="456">
        <f>C24*30*12*C25</f>
        <v>0</v>
      </c>
      <c r="D26" s="456">
        <f t="shared" ref="D26:G26" si="6">D24*30*12*D25</f>
        <v>699840</v>
      </c>
      <c r="E26" s="456">
        <f t="shared" si="6"/>
        <v>769824</v>
      </c>
      <c r="F26" s="456">
        <f t="shared" si="6"/>
        <v>769824</v>
      </c>
      <c r="G26" s="456">
        <f t="shared" si="6"/>
        <v>769824</v>
      </c>
    </row>
    <row r="27" spans="1:7" x14ac:dyDescent="0.25">
      <c r="B27" s="439"/>
      <c r="C27" s="439"/>
      <c r="D27" s="439"/>
      <c r="E27" s="439"/>
      <c r="F27" s="439"/>
      <c r="G27" s="439"/>
    </row>
    <row r="28" spans="1:7" x14ac:dyDescent="0.25">
      <c r="A28">
        <v>3</v>
      </c>
      <c r="B28" s="456" t="s">
        <v>529</v>
      </c>
      <c r="C28" s="453">
        <f>C20+0</f>
        <v>0</v>
      </c>
      <c r="D28" s="453">
        <f t="shared" ref="D28:G28" si="7">D20+0</f>
        <v>19440</v>
      </c>
      <c r="E28" s="453">
        <f t="shared" si="7"/>
        <v>19440</v>
      </c>
      <c r="F28" s="453">
        <f t="shared" si="7"/>
        <v>19440</v>
      </c>
      <c r="G28" s="453">
        <f t="shared" si="7"/>
        <v>19440</v>
      </c>
    </row>
    <row r="29" spans="1:7" x14ac:dyDescent="0.25">
      <c r="B29" s="453" t="s">
        <v>219</v>
      </c>
      <c r="C29" s="471">
        <v>0.5</v>
      </c>
      <c r="D29" s="453">
        <v>0.51</v>
      </c>
      <c r="E29" s="453">
        <v>0.52</v>
      </c>
      <c r="F29" s="453">
        <v>0.53</v>
      </c>
      <c r="G29" s="453">
        <v>0.54</v>
      </c>
    </row>
    <row r="30" spans="1:7" x14ac:dyDescent="0.25">
      <c r="B30" s="456" t="s">
        <v>220</v>
      </c>
      <c r="C30" s="456">
        <f>C28*30*12*C29</f>
        <v>0</v>
      </c>
      <c r="D30" s="456">
        <f t="shared" ref="D30:G30" si="8">D28*30*12*D29</f>
        <v>3569184</v>
      </c>
      <c r="E30" s="456">
        <f t="shared" si="8"/>
        <v>3639168</v>
      </c>
      <c r="F30" s="456">
        <f t="shared" si="8"/>
        <v>3709152</v>
      </c>
      <c r="G30" s="456">
        <f t="shared" si="8"/>
        <v>3779136.0000000005</v>
      </c>
    </row>
    <row r="31" spans="1:7" x14ac:dyDescent="0.25">
      <c r="B31" s="439"/>
      <c r="C31" s="439"/>
      <c r="D31" s="439"/>
      <c r="E31" s="439"/>
      <c r="F31" s="439"/>
      <c r="G31" s="439"/>
    </row>
    <row r="32" spans="1:7" x14ac:dyDescent="0.25">
      <c r="B32" s="439"/>
      <c r="C32" s="439"/>
      <c r="D32" s="439"/>
      <c r="E32" s="439"/>
      <c r="F32" s="439"/>
      <c r="G32" s="439"/>
    </row>
    <row r="33" spans="2:7" x14ac:dyDescent="0.25">
      <c r="B33" s="452" t="s">
        <v>222</v>
      </c>
      <c r="C33" s="439"/>
      <c r="D33" s="439"/>
      <c r="E33" s="439"/>
      <c r="F33" s="439"/>
      <c r="G33" s="439"/>
    </row>
    <row r="34" spans="2:7" x14ac:dyDescent="0.25">
      <c r="B34" s="439"/>
      <c r="C34" s="439"/>
      <c r="D34" s="439"/>
      <c r="E34" s="439"/>
      <c r="F34" s="439"/>
      <c r="G34" s="439"/>
    </row>
    <row r="35" spans="2:7" x14ac:dyDescent="0.25">
      <c r="B35" s="472" t="s">
        <v>222</v>
      </c>
      <c r="C35" s="457" t="s">
        <v>517</v>
      </c>
      <c r="D35" s="457" t="s">
        <v>518</v>
      </c>
      <c r="E35" s="457" t="s">
        <v>519</v>
      </c>
      <c r="F35" s="457" t="s">
        <v>520</v>
      </c>
      <c r="G35" s="457" t="s">
        <v>521</v>
      </c>
    </row>
    <row r="36" spans="2:7" x14ac:dyDescent="0.25">
      <c r="B36" s="453" t="s">
        <v>223</v>
      </c>
      <c r="C36" s="453">
        <f>C50+0</f>
        <v>212000</v>
      </c>
      <c r="D36" s="453">
        <f t="shared" ref="D36:G36" si="9">D50+0</f>
        <v>1555200</v>
      </c>
      <c r="E36" s="453">
        <f t="shared" si="9"/>
        <v>1684800</v>
      </c>
      <c r="F36" s="453">
        <f t="shared" si="9"/>
        <v>1944000</v>
      </c>
      <c r="G36" s="453">
        <f t="shared" si="9"/>
        <v>2073600</v>
      </c>
    </row>
    <row r="37" spans="2:7" x14ac:dyDescent="0.25">
      <c r="B37" s="453" t="s">
        <v>224</v>
      </c>
      <c r="C37" s="453">
        <v>5000</v>
      </c>
      <c r="D37" s="453">
        <f>C37*105%</f>
        <v>5250</v>
      </c>
      <c r="E37" s="453">
        <f>D37*110%</f>
        <v>5775.0000000000009</v>
      </c>
      <c r="F37" s="453">
        <f>E37*115%</f>
        <v>6641.2500000000009</v>
      </c>
      <c r="G37" s="453">
        <f>F37*120%</f>
        <v>7969.5000000000009</v>
      </c>
    </row>
    <row r="38" spans="2:7" x14ac:dyDescent="0.25">
      <c r="B38" s="453" t="s">
        <v>225</v>
      </c>
      <c r="C38" s="453">
        <v>4500</v>
      </c>
      <c r="D38" s="453">
        <v>9000</v>
      </c>
      <c r="E38" s="453">
        <f>D38*150%</f>
        <v>13500</v>
      </c>
      <c r="F38" s="471">
        <f>E38*200%</f>
        <v>27000</v>
      </c>
      <c r="G38" s="453">
        <f>F38*300%</f>
        <v>81000</v>
      </c>
    </row>
    <row r="39" spans="2:7" x14ac:dyDescent="0.25">
      <c r="B39" s="453" t="s">
        <v>443</v>
      </c>
      <c r="C39" s="453">
        <v>9000</v>
      </c>
      <c r="D39" s="453">
        <f>6140000+2000000</f>
        <v>8140000</v>
      </c>
      <c r="E39" s="453">
        <f>8220000+2200000-1500000+2000000</f>
        <v>10920000</v>
      </c>
      <c r="F39" s="453">
        <f>12200000+2600000-2000000+3000000</f>
        <v>15800000</v>
      </c>
      <c r="G39" s="453">
        <f>16140000+4500000-2500000+3000000</f>
        <v>21140000</v>
      </c>
    </row>
    <row r="40" spans="2:7" x14ac:dyDescent="0.25">
      <c r="B40" s="453" t="s">
        <v>226</v>
      </c>
      <c r="C40" s="471">
        <f>'7. depreciation'!H59/2</f>
        <v>908043.21875</v>
      </c>
      <c r="D40" s="471">
        <f>'7. depreciation'!I59</f>
        <v>1538848.471875</v>
      </c>
      <c r="E40" s="471">
        <f>'7. depreciation'!J59</f>
        <v>1305313.7010937501</v>
      </c>
      <c r="F40" s="471">
        <f>'7. depreciation'!K59</f>
        <v>1108060.8959296874</v>
      </c>
      <c r="G40" s="471">
        <f>'7. depreciation'!L59</f>
        <v>941130.18654023437</v>
      </c>
    </row>
    <row r="41" spans="2:7" x14ac:dyDescent="0.25">
      <c r="B41" s="466" t="s">
        <v>227</v>
      </c>
      <c r="C41" s="473">
        <f>SUM(C36:C40)</f>
        <v>1138543.21875</v>
      </c>
      <c r="D41" s="473">
        <f>SUM(D36:D40)</f>
        <v>11248298.471875001</v>
      </c>
      <c r="E41" s="467">
        <f>SUM(E36:E40)</f>
        <v>13929388.70109375</v>
      </c>
      <c r="F41" s="473">
        <f>SUM(F36:F40)</f>
        <v>18885702.145929687</v>
      </c>
      <c r="G41" s="473">
        <f>SUM(G36:G40)</f>
        <v>24243699.686540235</v>
      </c>
    </row>
    <row r="42" spans="2:7" x14ac:dyDescent="0.25">
      <c r="B42" s="439"/>
      <c r="C42" s="439"/>
      <c r="D42" s="439"/>
      <c r="E42" s="439"/>
      <c r="F42" s="439"/>
      <c r="G42" s="439"/>
    </row>
    <row r="43" spans="2:7" x14ac:dyDescent="0.25">
      <c r="B43" s="439"/>
      <c r="C43" s="474" t="s">
        <v>515</v>
      </c>
      <c r="D43" s="474" t="s">
        <v>515</v>
      </c>
      <c r="E43" s="474" t="s">
        <v>515</v>
      </c>
      <c r="F43" s="474" t="s">
        <v>515</v>
      </c>
      <c r="G43" s="474" t="s">
        <v>515</v>
      </c>
    </row>
    <row r="44" spans="2:7" x14ac:dyDescent="0.25">
      <c r="B44" s="454" t="s">
        <v>223</v>
      </c>
      <c r="C44" s="453">
        <v>100</v>
      </c>
      <c r="D44" s="453">
        <v>120</v>
      </c>
      <c r="E44" s="453">
        <v>130</v>
      </c>
      <c r="F44" s="453">
        <v>150</v>
      </c>
      <c r="G44" s="453">
        <v>160</v>
      </c>
    </row>
    <row r="45" spans="2:7" x14ac:dyDescent="0.25">
      <c r="B45" s="453" t="s">
        <v>228</v>
      </c>
      <c r="C45" s="453">
        <f>15000*12/3</f>
        <v>60000</v>
      </c>
      <c r="D45" s="453">
        <f>C53*D44%</f>
        <v>216000</v>
      </c>
      <c r="E45" s="453">
        <f>C53*E44%</f>
        <v>234000</v>
      </c>
      <c r="F45" s="453">
        <f>C53*F44%</f>
        <v>270000</v>
      </c>
      <c r="G45" s="453">
        <f>C53*G44%</f>
        <v>288000</v>
      </c>
    </row>
    <row r="46" spans="2:7" x14ac:dyDescent="0.25">
      <c r="B46" s="453" t="s">
        <v>229</v>
      </c>
      <c r="C46" s="453">
        <f>18000*12/3</f>
        <v>72000</v>
      </c>
      <c r="D46" s="453">
        <f>C54*D44%</f>
        <v>259200</v>
      </c>
      <c r="E46" s="453">
        <f>C54*E44%</f>
        <v>280800</v>
      </c>
      <c r="F46" s="453">
        <f>C54*F44%</f>
        <v>324000</v>
      </c>
      <c r="G46" s="453">
        <f>C54*G44%</f>
        <v>345600</v>
      </c>
    </row>
    <row r="47" spans="2:7" x14ac:dyDescent="0.25">
      <c r="B47" s="453" t="s">
        <v>254</v>
      </c>
      <c r="C47" s="453">
        <f>20000*12/3</f>
        <v>80000</v>
      </c>
      <c r="D47" s="453">
        <f>C55*D44%</f>
        <v>172800</v>
      </c>
      <c r="E47" s="453">
        <f>C55*E44%</f>
        <v>187200</v>
      </c>
      <c r="F47" s="453">
        <f>C55*F44%</f>
        <v>216000</v>
      </c>
      <c r="G47" s="453">
        <f>C55*G44%</f>
        <v>230400</v>
      </c>
    </row>
    <row r="48" spans="2:7" x14ac:dyDescent="0.25">
      <c r="B48" s="453" t="s">
        <v>444</v>
      </c>
      <c r="C48" s="453"/>
      <c r="D48" s="453">
        <f>C56*D44%</f>
        <v>403200</v>
      </c>
      <c r="E48" s="453">
        <f>C56*E44%</f>
        <v>436800</v>
      </c>
      <c r="F48" s="453">
        <f>C56*F44%</f>
        <v>504000</v>
      </c>
      <c r="G48" s="453">
        <f>C56*G44%</f>
        <v>537600</v>
      </c>
    </row>
    <row r="49" spans="2:7" x14ac:dyDescent="0.25">
      <c r="B49" s="453" t="s">
        <v>445</v>
      </c>
      <c r="C49" s="453"/>
      <c r="D49" s="453">
        <f>C57*D44%</f>
        <v>504000</v>
      </c>
      <c r="E49" s="453">
        <f>C57*E44%</f>
        <v>546000</v>
      </c>
      <c r="F49" s="453">
        <f>C57*F44%</f>
        <v>630000</v>
      </c>
      <c r="G49" s="453">
        <f>C57*G44%</f>
        <v>672000</v>
      </c>
    </row>
    <row r="50" spans="2:7" x14ac:dyDescent="0.25">
      <c r="B50" s="456" t="s">
        <v>255</v>
      </c>
      <c r="C50" s="456">
        <f>SUM(C45:C47)</f>
        <v>212000</v>
      </c>
      <c r="D50" s="456">
        <f>SUM(D45:D49)</f>
        <v>1555200</v>
      </c>
      <c r="E50" s="456">
        <f t="shared" ref="E50:G50" si="10">SUM(E45:E49)</f>
        <v>1684800</v>
      </c>
      <c r="F50" s="456">
        <f t="shared" si="10"/>
        <v>1944000</v>
      </c>
      <c r="G50" s="456">
        <f t="shared" si="10"/>
        <v>2073600</v>
      </c>
    </row>
    <row r="51" spans="2:7" x14ac:dyDescent="0.25">
      <c r="B51" s="439"/>
      <c r="C51" s="439"/>
      <c r="D51" s="439"/>
      <c r="E51" s="439"/>
      <c r="F51" s="439"/>
      <c r="G51" s="439"/>
    </row>
    <row r="52" spans="2:7" x14ac:dyDescent="0.25">
      <c r="B52" s="452" t="s">
        <v>258</v>
      </c>
      <c r="C52" s="459" t="s">
        <v>530</v>
      </c>
      <c r="D52" s="439"/>
      <c r="E52" s="439"/>
      <c r="F52" s="439"/>
      <c r="G52" s="439"/>
    </row>
    <row r="53" spans="2:7" x14ac:dyDescent="0.25">
      <c r="B53" s="453" t="s">
        <v>552</v>
      </c>
      <c r="C53" s="453">
        <f>15000*12</f>
        <v>180000</v>
      </c>
      <c r="D53" s="439"/>
      <c r="E53" s="439"/>
      <c r="F53" s="439"/>
      <c r="G53" s="439"/>
    </row>
    <row r="54" spans="2:7" x14ac:dyDescent="0.25">
      <c r="B54" s="453" t="s">
        <v>553</v>
      </c>
      <c r="C54" s="453">
        <f>18000*12</f>
        <v>216000</v>
      </c>
      <c r="D54" s="439"/>
      <c r="E54" s="439"/>
      <c r="F54" s="439"/>
      <c r="G54" s="439"/>
    </row>
    <row r="55" spans="2:7" x14ac:dyDescent="0.25">
      <c r="B55" s="453" t="s">
        <v>554</v>
      </c>
      <c r="C55" s="453">
        <f>12000*12</f>
        <v>144000</v>
      </c>
      <c r="D55" s="439"/>
      <c r="E55" s="439"/>
      <c r="F55" s="439"/>
      <c r="G55" s="439"/>
    </row>
    <row r="56" spans="2:7" x14ac:dyDescent="0.25">
      <c r="B56" s="453" t="s">
        <v>555</v>
      </c>
      <c r="C56" s="453">
        <f>28000*12</f>
        <v>336000</v>
      </c>
      <c r="D56" s="439"/>
      <c r="E56" s="439"/>
      <c r="F56" s="439"/>
      <c r="G56" s="439"/>
    </row>
    <row r="57" spans="2:7" x14ac:dyDescent="0.25">
      <c r="B57" s="453" t="s">
        <v>556</v>
      </c>
      <c r="C57" s="453">
        <f>35000*12</f>
        <v>420000</v>
      </c>
      <c r="D57" s="439"/>
      <c r="E57" s="439"/>
      <c r="F57" s="439"/>
      <c r="G57" s="439"/>
    </row>
    <row r="58" spans="2:7" x14ac:dyDescent="0.25">
      <c r="B58" s="84"/>
    </row>
    <row r="61" spans="2:7" x14ac:dyDescent="0.25">
      <c r="B61" s="108" t="s">
        <v>325</v>
      </c>
    </row>
    <row r="62" spans="2:7" x14ac:dyDescent="0.25">
      <c r="B62" s="452" t="s">
        <v>262</v>
      </c>
      <c r="C62" s="439">
        <v>1</v>
      </c>
      <c r="D62" s="439">
        <v>2</v>
      </c>
      <c r="E62" s="439">
        <v>3</v>
      </c>
      <c r="F62" s="439">
        <v>4</v>
      </c>
      <c r="G62" s="439">
        <v>5</v>
      </c>
    </row>
    <row r="63" spans="2:7" x14ac:dyDescent="0.25">
      <c r="B63" s="453" t="s">
        <v>252</v>
      </c>
      <c r="C63" s="453">
        <f>C73/5</f>
        <v>24000</v>
      </c>
      <c r="D63" s="453">
        <f>C73/5</f>
        <v>24000</v>
      </c>
      <c r="E63" s="453">
        <f>C73/5</f>
        <v>24000</v>
      </c>
      <c r="F63" s="453">
        <f>C73/5</f>
        <v>24000</v>
      </c>
      <c r="G63" s="453">
        <f>C73/5</f>
        <v>24000</v>
      </c>
    </row>
    <row r="64" spans="2:7" x14ac:dyDescent="0.25">
      <c r="B64" s="454" t="s">
        <v>1</v>
      </c>
      <c r="C64" s="456">
        <f>SUM(C63+0)</f>
        <v>24000</v>
      </c>
      <c r="D64" s="456">
        <f t="shared" ref="D64:G64" si="11">SUM(D63+0)</f>
        <v>24000</v>
      </c>
      <c r="E64" s="456">
        <f t="shared" si="11"/>
        <v>24000</v>
      </c>
      <c r="F64" s="456">
        <f t="shared" si="11"/>
        <v>24000</v>
      </c>
      <c r="G64" s="456">
        <f t="shared" si="11"/>
        <v>24000</v>
      </c>
    </row>
    <row r="67" spans="1:7" x14ac:dyDescent="0.25">
      <c r="A67" s="475" t="s">
        <v>252</v>
      </c>
      <c r="B67" s="439"/>
      <c r="C67" s="439"/>
    </row>
    <row r="68" spans="1:7" x14ac:dyDescent="0.25">
      <c r="A68" s="458"/>
      <c r="B68" s="439"/>
      <c r="C68" s="439"/>
    </row>
    <row r="69" spans="1:7" x14ac:dyDescent="0.25">
      <c r="A69" s="460" t="s">
        <v>100</v>
      </c>
      <c r="B69" s="457" t="s">
        <v>0</v>
      </c>
      <c r="C69" s="457" t="s">
        <v>2</v>
      </c>
    </row>
    <row r="70" spans="1:7" x14ac:dyDescent="0.25">
      <c r="A70" s="461">
        <v>1</v>
      </c>
      <c r="B70" s="453" t="s">
        <v>253</v>
      </c>
      <c r="C70" s="453">
        <v>55000</v>
      </c>
    </row>
    <row r="71" spans="1:7" x14ac:dyDescent="0.25">
      <c r="A71" s="461">
        <v>2</v>
      </c>
      <c r="B71" s="453" t="s">
        <v>492</v>
      </c>
      <c r="C71" s="453">
        <v>35000</v>
      </c>
    </row>
    <row r="72" spans="1:7" x14ac:dyDescent="0.25">
      <c r="A72" s="461">
        <v>3</v>
      </c>
      <c r="B72" s="453" t="s">
        <v>550</v>
      </c>
      <c r="C72" s="453">
        <v>30000</v>
      </c>
    </row>
    <row r="73" spans="1:7" x14ac:dyDescent="0.25">
      <c r="A73" s="460"/>
      <c r="B73" s="457" t="s">
        <v>1</v>
      </c>
      <c r="C73" s="457">
        <f>SUM(C70:C72)</f>
        <v>120000</v>
      </c>
    </row>
    <row r="79" spans="1:7" x14ac:dyDescent="0.25">
      <c r="A79" s="476" t="s">
        <v>269</v>
      </c>
      <c r="B79" s="477"/>
      <c r="C79" s="477"/>
      <c r="D79" s="477"/>
      <c r="E79" s="477"/>
      <c r="F79" s="477"/>
      <c r="G79" s="477"/>
    </row>
    <row r="80" spans="1:7" ht="13.8" x14ac:dyDescent="0.3">
      <c r="A80" s="481"/>
      <c r="B80" s="482"/>
      <c r="C80" s="483" t="s">
        <v>185</v>
      </c>
      <c r="D80" s="484" t="s">
        <v>186</v>
      </c>
      <c r="E80" s="483" t="s">
        <v>187</v>
      </c>
      <c r="F80" s="484" t="s">
        <v>188</v>
      </c>
      <c r="G80" s="483" t="s">
        <v>189</v>
      </c>
    </row>
    <row r="81" spans="1:7" ht="24" x14ac:dyDescent="0.3">
      <c r="A81" s="485" t="s">
        <v>270</v>
      </c>
      <c r="B81" s="486" t="s">
        <v>205</v>
      </c>
      <c r="C81" s="482">
        <v>1000</v>
      </c>
      <c r="D81" s="487">
        <f t="shared" ref="D81:G82" si="12">C81</f>
        <v>1000</v>
      </c>
      <c r="E81" s="488">
        <f t="shared" si="12"/>
        <v>1000</v>
      </c>
      <c r="F81" s="489">
        <f t="shared" si="12"/>
        <v>1000</v>
      </c>
      <c r="G81" s="488">
        <f t="shared" si="12"/>
        <v>1000</v>
      </c>
    </row>
    <row r="82" spans="1:7" ht="13.8" x14ac:dyDescent="0.3">
      <c r="A82" s="490"/>
      <c r="B82" s="486" t="s">
        <v>271</v>
      </c>
      <c r="C82" s="482">
        <v>150</v>
      </c>
      <c r="D82" s="487">
        <f t="shared" si="12"/>
        <v>150</v>
      </c>
      <c r="E82" s="488">
        <f t="shared" si="12"/>
        <v>150</v>
      </c>
      <c r="F82" s="489">
        <f t="shared" si="12"/>
        <v>150</v>
      </c>
      <c r="G82" s="488">
        <f t="shared" si="12"/>
        <v>150</v>
      </c>
    </row>
    <row r="83" spans="1:7" ht="13.8" x14ac:dyDescent="0.3">
      <c r="A83" s="490"/>
      <c r="B83" s="486" t="s">
        <v>1</v>
      </c>
      <c r="C83" s="482">
        <f>C81+C82</f>
        <v>1150</v>
      </c>
      <c r="D83" s="487">
        <f t="shared" ref="D83:G83" si="13">D81+D82</f>
        <v>1150</v>
      </c>
      <c r="E83" s="488">
        <f t="shared" si="13"/>
        <v>1150</v>
      </c>
      <c r="F83" s="489">
        <f t="shared" si="13"/>
        <v>1150</v>
      </c>
      <c r="G83" s="488">
        <f t="shared" si="13"/>
        <v>1150</v>
      </c>
    </row>
    <row r="84" spans="1:7" ht="13.8" x14ac:dyDescent="0.3">
      <c r="A84" s="490"/>
      <c r="B84" s="486" t="s">
        <v>272</v>
      </c>
      <c r="C84" s="482">
        <v>10</v>
      </c>
      <c r="D84" s="487">
        <f t="shared" ref="D84:G84" si="14">C84</f>
        <v>10</v>
      </c>
      <c r="E84" s="488">
        <f t="shared" si="14"/>
        <v>10</v>
      </c>
      <c r="F84" s="489">
        <f t="shared" si="14"/>
        <v>10</v>
      </c>
      <c r="G84" s="488">
        <f t="shared" si="14"/>
        <v>10</v>
      </c>
    </row>
    <row r="85" spans="1:7" ht="13.8" x14ac:dyDescent="0.3">
      <c r="A85" s="490"/>
      <c r="B85" s="486" t="s">
        <v>298</v>
      </c>
      <c r="C85" s="491">
        <v>27</v>
      </c>
      <c r="D85" s="492">
        <f>C85</f>
        <v>27</v>
      </c>
      <c r="E85" s="493">
        <f>D85*1.015</f>
        <v>27.404999999999998</v>
      </c>
      <c r="F85" s="494">
        <f>E85*1.015</f>
        <v>27.816074999999994</v>
      </c>
      <c r="G85" s="493">
        <f>F85*1.015</f>
        <v>28.233316124999991</v>
      </c>
    </row>
    <row r="86" spans="1:7" ht="13.8" x14ac:dyDescent="0.3">
      <c r="A86" s="490"/>
      <c r="B86" s="486" t="s">
        <v>273</v>
      </c>
      <c r="C86" s="495">
        <f>C83*C84*C85</f>
        <v>310500</v>
      </c>
      <c r="D86" s="496">
        <f>D84*D85*D83</f>
        <v>310500</v>
      </c>
      <c r="E86" s="497">
        <f>E84*E85*E83</f>
        <v>315157.49999999994</v>
      </c>
      <c r="F86" s="498">
        <f>F84*F85*F83</f>
        <v>319884.86249999993</v>
      </c>
      <c r="G86" s="497">
        <f>G84*G85*G83</f>
        <v>324683.13543749991</v>
      </c>
    </row>
    <row r="87" spans="1:7" ht="13.8" x14ac:dyDescent="0.3">
      <c r="A87" s="485"/>
      <c r="B87" s="499"/>
      <c r="C87" s="500"/>
      <c r="D87" s="501"/>
      <c r="E87" s="501"/>
      <c r="F87" s="500"/>
      <c r="G87" s="501"/>
    </row>
    <row r="88" spans="1:7" ht="24" x14ac:dyDescent="0.3">
      <c r="A88" s="490" t="s">
        <v>274</v>
      </c>
      <c r="B88" s="502" t="s">
        <v>275</v>
      </c>
      <c r="C88" s="503">
        <v>1000</v>
      </c>
      <c r="D88" s="504">
        <f t="shared" ref="D88:G91" si="15">C88</f>
        <v>1000</v>
      </c>
      <c r="E88" s="505">
        <f t="shared" si="15"/>
        <v>1000</v>
      </c>
      <c r="F88" s="506">
        <f t="shared" si="15"/>
        <v>1000</v>
      </c>
      <c r="G88" s="505">
        <f t="shared" si="15"/>
        <v>1000</v>
      </c>
    </row>
    <row r="89" spans="1:7" ht="24" x14ac:dyDescent="0.3">
      <c r="A89" s="490" t="s">
        <v>276</v>
      </c>
      <c r="B89" s="486" t="s">
        <v>277</v>
      </c>
      <c r="C89" s="495">
        <v>150</v>
      </c>
      <c r="D89" s="487">
        <f t="shared" si="15"/>
        <v>150</v>
      </c>
      <c r="E89" s="488">
        <f t="shared" si="15"/>
        <v>150</v>
      </c>
      <c r="F89" s="489">
        <f t="shared" si="15"/>
        <v>150</v>
      </c>
      <c r="G89" s="488">
        <f t="shared" si="15"/>
        <v>150</v>
      </c>
    </row>
    <row r="90" spans="1:7" ht="13.8" x14ac:dyDescent="0.3">
      <c r="A90" s="490"/>
      <c r="B90" s="486" t="s">
        <v>1</v>
      </c>
      <c r="C90" s="495">
        <f>C88+C89</f>
        <v>1150</v>
      </c>
      <c r="D90" s="495">
        <f t="shared" ref="D90:G90" si="16">D88+D89</f>
        <v>1150</v>
      </c>
      <c r="E90" s="495">
        <f t="shared" si="16"/>
        <v>1150</v>
      </c>
      <c r="F90" s="495">
        <f t="shared" si="16"/>
        <v>1150</v>
      </c>
      <c r="G90" s="495">
        <f t="shared" si="16"/>
        <v>1150</v>
      </c>
    </row>
    <row r="91" spans="1:7" ht="13.8" x14ac:dyDescent="0.3">
      <c r="A91" s="490"/>
      <c r="B91" s="486" t="s">
        <v>299</v>
      </c>
      <c r="C91" s="482">
        <v>29</v>
      </c>
      <c r="D91" s="487">
        <f>C91</f>
        <v>29</v>
      </c>
      <c r="E91" s="488">
        <f t="shared" si="15"/>
        <v>29</v>
      </c>
      <c r="F91" s="489">
        <f t="shared" si="15"/>
        <v>29</v>
      </c>
      <c r="G91" s="488">
        <f t="shared" si="15"/>
        <v>29</v>
      </c>
    </row>
    <row r="92" spans="1:7" ht="13.8" x14ac:dyDescent="0.3">
      <c r="A92" s="490"/>
      <c r="B92" s="486" t="s">
        <v>278</v>
      </c>
      <c r="C92" s="482">
        <v>26</v>
      </c>
      <c r="D92" s="487">
        <f>C92</f>
        <v>26</v>
      </c>
      <c r="E92" s="493">
        <f>D92*1.015</f>
        <v>26.389999999999997</v>
      </c>
      <c r="F92" s="494">
        <f>E92*1.015</f>
        <v>26.785849999999993</v>
      </c>
      <c r="G92" s="493">
        <f>F92*1.015</f>
        <v>27.18763774999999</v>
      </c>
    </row>
    <row r="93" spans="1:7" ht="13.8" x14ac:dyDescent="0.3">
      <c r="A93" s="507"/>
      <c r="B93" s="486" t="s">
        <v>279</v>
      </c>
      <c r="C93" s="495">
        <f>C90*C91*C92</f>
        <v>867100</v>
      </c>
      <c r="D93" s="495">
        <f t="shared" ref="D93:G93" si="17">D90*D91*D92</f>
        <v>867100</v>
      </c>
      <c r="E93" s="495">
        <f t="shared" si="17"/>
        <v>880106.49999999988</v>
      </c>
      <c r="F93" s="495">
        <f t="shared" si="17"/>
        <v>893308.0974999998</v>
      </c>
      <c r="G93" s="495">
        <f t="shared" si="17"/>
        <v>906707.71896249964</v>
      </c>
    </row>
    <row r="94" spans="1:7" ht="13.8" x14ac:dyDescent="0.3">
      <c r="A94" s="485"/>
      <c r="B94" s="499"/>
      <c r="C94" s="500"/>
      <c r="D94" s="500"/>
      <c r="E94" s="501"/>
      <c r="F94" s="500"/>
      <c r="G94" s="501"/>
    </row>
    <row r="95" spans="1:7" ht="36" x14ac:dyDescent="0.3">
      <c r="A95" s="508" t="s">
        <v>280</v>
      </c>
      <c r="B95" s="486" t="s">
        <v>281</v>
      </c>
      <c r="C95" s="509">
        <f>'8.Sales'!C30+'8.Sales'!C34</f>
        <v>20000</v>
      </c>
      <c r="D95" s="509">
        <f>'8.Sales'!D30+'8.Sales'!D34</f>
        <v>120000</v>
      </c>
      <c r="E95" s="509">
        <f>'8.Sales'!E30+'8.Sales'!E34</f>
        <v>120000</v>
      </c>
      <c r="F95" s="509">
        <f>'8.Sales'!F30+'8.Sales'!F34</f>
        <v>120000</v>
      </c>
      <c r="G95" s="509">
        <f>'8.Sales'!G30+'8.Sales'!G34</f>
        <v>120000</v>
      </c>
    </row>
    <row r="96" spans="1:7" ht="24" x14ac:dyDescent="0.3">
      <c r="A96" s="508"/>
      <c r="B96" s="486" t="s">
        <v>300</v>
      </c>
      <c r="C96" s="482">
        <v>1.2</v>
      </c>
      <c r="D96" s="487">
        <f t="shared" ref="D96:G96" si="18">C96</f>
        <v>1.2</v>
      </c>
      <c r="E96" s="488">
        <f t="shared" si="18"/>
        <v>1.2</v>
      </c>
      <c r="F96" s="489">
        <f t="shared" si="18"/>
        <v>1.2</v>
      </c>
      <c r="G96" s="488">
        <f t="shared" si="18"/>
        <v>1.2</v>
      </c>
    </row>
    <row r="97" spans="1:7" ht="13.8" x14ac:dyDescent="0.3">
      <c r="A97" s="490"/>
      <c r="B97" s="486" t="s">
        <v>282</v>
      </c>
      <c r="C97" s="482">
        <v>33</v>
      </c>
      <c r="D97" s="487">
        <f>C97</f>
        <v>33</v>
      </c>
      <c r="E97" s="493">
        <f>D97*1.015</f>
        <v>33.494999999999997</v>
      </c>
      <c r="F97" s="494">
        <f>E97*1.015</f>
        <v>33.997424999999993</v>
      </c>
      <c r="G97" s="493">
        <f>F97*1.015</f>
        <v>34.507386374999989</v>
      </c>
    </row>
    <row r="98" spans="1:7" ht="13.8" x14ac:dyDescent="0.3">
      <c r="A98" s="507"/>
      <c r="B98" s="486" t="s">
        <v>283</v>
      </c>
      <c r="C98" s="509">
        <f>C95*C96*C97</f>
        <v>792000</v>
      </c>
      <c r="D98" s="510">
        <f t="shared" ref="D98:G98" si="19">D95*D96*D97</f>
        <v>4752000</v>
      </c>
      <c r="E98" s="511">
        <f t="shared" si="19"/>
        <v>4823280</v>
      </c>
      <c r="F98" s="512">
        <f t="shared" si="19"/>
        <v>4895629.1999999993</v>
      </c>
      <c r="G98" s="511">
        <f t="shared" si="19"/>
        <v>4969063.6379999984</v>
      </c>
    </row>
    <row r="99" spans="1:7" ht="13.8" x14ac:dyDescent="0.3">
      <c r="A99" s="490"/>
      <c r="B99" s="513"/>
      <c r="C99" s="501"/>
      <c r="D99" s="506"/>
      <c r="E99" s="505"/>
      <c r="F99" s="506"/>
      <c r="G99" s="505"/>
    </row>
    <row r="100" spans="1:7" ht="13.8" x14ac:dyDescent="0.3">
      <c r="A100" s="655" t="s">
        <v>284</v>
      </c>
      <c r="B100" s="656"/>
      <c r="C100" s="514">
        <f>C86+C93+C98</f>
        <v>1969600</v>
      </c>
      <c r="D100" s="515">
        <f t="shared" ref="D100:G100" si="20">D86+D93+D98</f>
        <v>5929600</v>
      </c>
      <c r="E100" s="514">
        <f t="shared" si="20"/>
        <v>6018544</v>
      </c>
      <c r="F100" s="515">
        <f t="shared" si="20"/>
        <v>6108822.1599999992</v>
      </c>
      <c r="G100" s="514">
        <f t="shared" si="20"/>
        <v>6200454.492399998</v>
      </c>
    </row>
    <row r="101" spans="1:7" x14ac:dyDescent="0.25">
      <c r="A101" s="478"/>
      <c r="B101" s="479"/>
      <c r="C101" s="477"/>
      <c r="D101" s="477"/>
      <c r="E101" s="477"/>
      <c r="F101" s="477"/>
      <c r="G101" s="477"/>
    </row>
    <row r="102" spans="1:7" x14ac:dyDescent="0.25">
      <c r="A102" s="478"/>
      <c r="B102" s="479"/>
      <c r="C102" s="477"/>
      <c r="D102" s="477"/>
      <c r="E102" s="477"/>
      <c r="F102" s="477"/>
      <c r="G102" s="477"/>
    </row>
    <row r="103" spans="1:7" ht="21.75" customHeight="1" x14ac:dyDescent="0.25">
      <c r="A103" s="659" t="s">
        <v>285</v>
      </c>
      <c r="B103" s="659"/>
      <c r="C103" s="659"/>
      <c r="D103" s="659"/>
      <c r="E103" s="659"/>
      <c r="F103" s="659"/>
      <c r="G103" s="477"/>
    </row>
    <row r="104" spans="1:7" ht="13.8" x14ac:dyDescent="0.3">
      <c r="A104" s="516"/>
      <c r="B104" s="517"/>
      <c r="C104" s="483" t="s">
        <v>185</v>
      </c>
      <c r="D104" s="484" t="s">
        <v>186</v>
      </c>
      <c r="E104" s="483" t="s">
        <v>187</v>
      </c>
      <c r="F104" s="484" t="s">
        <v>188</v>
      </c>
      <c r="G104" s="483" t="s">
        <v>189</v>
      </c>
    </row>
    <row r="105" spans="1:7" ht="35.25" customHeight="1" x14ac:dyDescent="0.3">
      <c r="A105" s="518" t="s">
        <v>264</v>
      </c>
      <c r="B105" s="486" t="s">
        <v>286</v>
      </c>
      <c r="C105" s="497">
        <v>1027</v>
      </c>
      <c r="D105" s="488">
        <f t="shared" ref="D105:G105" si="21">C105</f>
        <v>1027</v>
      </c>
      <c r="E105" s="488">
        <f t="shared" si="21"/>
        <v>1027</v>
      </c>
      <c r="F105" s="488">
        <f t="shared" si="21"/>
        <v>1027</v>
      </c>
      <c r="G105" s="488">
        <f t="shared" si="21"/>
        <v>1027</v>
      </c>
    </row>
    <row r="106" spans="1:7" ht="13.8" x14ac:dyDescent="0.3">
      <c r="A106" s="508"/>
      <c r="B106" s="486" t="s">
        <v>287</v>
      </c>
      <c r="C106" s="488">
        <v>15</v>
      </c>
      <c r="D106" s="488">
        <f>C106</f>
        <v>15</v>
      </c>
      <c r="E106" s="493">
        <f>D106*1.015</f>
        <v>15.224999999999998</v>
      </c>
      <c r="F106" s="493">
        <f>E106*1.015</f>
        <v>15.453374999999996</v>
      </c>
      <c r="G106" s="493">
        <f>F106*1.015</f>
        <v>15.685175624999994</v>
      </c>
    </row>
    <row r="107" spans="1:7" ht="13.8" x14ac:dyDescent="0.3">
      <c r="A107" s="490"/>
      <c r="B107" s="519" t="s">
        <v>288</v>
      </c>
      <c r="C107" s="505">
        <f>C105*C106</f>
        <v>15405</v>
      </c>
      <c r="D107" s="503">
        <f t="shared" ref="D107:G107" si="22">D105*D106</f>
        <v>15405</v>
      </c>
      <c r="E107" s="520">
        <f t="shared" si="22"/>
        <v>15636.074999999997</v>
      </c>
      <c r="F107" s="503">
        <f t="shared" si="22"/>
        <v>15870.616124999995</v>
      </c>
      <c r="G107" s="520">
        <f t="shared" si="22"/>
        <v>16108.675366874993</v>
      </c>
    </row>
    <row r="108" spans="1:7" ht="13.8" x14ac:dyDescent="0.3">
      <c r="A108" s="507"/>
      <c r="B108" s="521"/>
      <c r="C108" s="504"/>
      <c r="D108" s="522"/>
      <c r="E108" s="504"/>
      <c r="F108" s="522"/>
      <c r="G108" s="504"/>
    </row>
    <row r="109" spans="1:7" ht="36" x14ac:dyDescent="0.3">
      <c r="A109" s="518" t="s">
        <v>265</v>
      </c>
      <c r="B109" s="486" t="s">
        <v>289</v>
      </c>
      <c r="C109" s="497">
        <v>953</v>
      </c>
      <c r="D109" s="488">
        <f t="shared" ref="D109:G109" si="23">C109</f>
        <v>953</v>
      </c>
      <c r="E109" s="488">
        <f t="shared" si="23"/>
        <v>953</v>
      </c>
      <c r="F109" s="488">
        <f t="shared" si="23"/>
        <v>953</v>
      </c>
      <c r="G109" s="488">
        <f t="shared" si="23"/>
        <v>953</v>
      </c>
    </row>
    <row r="110" spans="1:7" ht="13.8" x14ac:dyDescent="0.3">
      <c r="A110" s="508"/>
      <c r="B110" s="486" t="s">
        <v>287</v>
      </c>
      <c r="C110" s="488">
        <v>16</v>
      </c>
      <c r="D110" s="488">
        <f>C110</f>
        <v>16</v>
      </c>
      <c r="E110" s="493">
        <f>D110*1.05</f>
        <v>16.8</v>
      </c>
      <c r="F110" s="493">
        <f>E110*1.05</f>
        <v>17.64</v>
      </c>
      <c r="G110" s="493">
        <f>F110*1.05</f>
        <v>18.522000000000002</v>
      </c>
    </row>
    <row r="111" spans="1:7" ht="24" x14ac:dyDescent="0.3">
      <c r="A111" s="507"/>
      <c r="B111" s="486" t="s">
        <v>290</v>
      </c>
      <c r="C111" s="488">
        <f>C109*C110</f>
        <v>15248</v>
      </c>
      <c r="D111" s="497">
        <f t="shared" ref="D111:G111" si="24">D109*D110</f>
        <v>15248</v>
      </c>
      <c r="E111" s="497">
        <f t="shared" si="24"/>
        <v>16010.400000000001</v>
      </c>
      <c r="F111" s="497">
        <f t="shared" si="24"/>
        <v>16810.920000000002</v>
      </c>
      <c r="G111" s="497">
        <f t="shared" si="24"/>
        <v>17651.466</v>
      </c>
    </row>
    <row r="112" spans="1:7" ht="48" x14ac:dyDescent="0.3">
      <c r="A112" s="508" t="s">
        <v>266</v>
      </c>
      <c r="B112" s="519" t="s">
        <v>291</v>
      </c>
      <c r="C112" s="523">
        <f>'8.Sales'!C30+'8.Sales'!C34</f>
        <v>20000</v>
      </c>
      <c r="D112" s="523">
        <f>'8.Sales'!D30+'8.Sales'!D34</f>
        <v>120000</v>
      </c>
      <c r="E112" s="523">
        <f>'8.Sales'!E30+'8.Sales'!E34</f>
        <v>120000</v>
      </c>
      <c r="F112" s="523">
        <f>'8.Sales'!F30+'8.Sales'!F34</f>
        <v>120000</v>
      </c>
      <c r="G112" s="523">
        <f>'8.Sales'!G30+'8.Sales'!G34</f>
        <v>120000</v>
      </c>
    </row>
    <row r="113" spans="1:7" ht="13.8" x14ac:dyDescent="0.3">
      <c r="A113" s="508"/>
      <c r="B113" s="486" t="s">
        <v>287</v>
      </c>
      <c r="C113" s="488">
        <v>1.45</v>
      </c>
      <c r="D113" s="488">
        <f>C113</f>
        <v>1.45</v>
      </c>
      <c r="E113" s="493">
        <f>D113*1.05</f>
        <v>1.5225</v>
      </c>
      <c r="F113" s="493">
        <f>E113*1.05</f>
        <v>1.598625</v>
      </c>
      <c r="G113" s="493">
        <f>F113*1.05</f>
        <v>1.67855625</v>
      </c>
    </row>
    <row r="114" spans="1:7" ht="13.8" x14ac:dyDescent="0.3">
      <c r="A114" s="507"/>
      <c r="B114" s="486" t="s">
        <v>292</v>
      </c>
      <c r="C114" s="511">
        <f>C112*C113</f>
        <v>29000</v>
      </c>
      <c r="D114" s="511">
        <f t="shared" ref="D114:G114" si="25">D112*D113</f>
        <v>174000</v>
      </c>
      <c r="E114" s="511">
        <f t="shared" si="25"/>
        <v>182700</v>
      </c>
      <c r="F114" s="511">
        <f t="shared" si="25"/>
        <v>191835</v>
      </c>
      <c r="G114" s="511">
        <f t="shared" si="25"/>
        <v>201426.75</v>
      </c>
    </row>
    <row r="115" spans="1:7" ht="24" x14ac:dyDescent="0.3">
      <c r="A115" s="490" t="s">
        <v>267</v>
      </c>
      <c r="B115" s="519" t="s">
        <v>293</v>
      </c>
      <c r="C115" s="523">
        <f>'8.Sales'!C30+'8.Sales'!C34</f>
        <v>20000</v>
      </c>
      <c r="D115" s="523">
        <f>'8.Sales'!D30+'8.Sales'!D34</f>
        <v>120000</v>
      </c>
      <c r="E115" s="523">
        <f>'8.Sales'!E30+'8.Sales'!E34</f>
        <v>120000</v>
      </c>
      <c r="F115" s="523">
        <f>'8.Sales'!F30+'8.Sales'!F34</f>
        <v>120000</v>
      </c>
      <c r="G115" s="523">
        <f>'8.Sales'!G30+'8.Sales'!G34</f>
        <v>120000</v>
      </c>
    </row>
    <row r="116" spans="1:7" ht="24" x14ac:dyDescent="0.3">
      <c r="A116" s="490"/>
      <c r="B116" s="486" t="s">
        <v>294</v>
      </c>
      <c r="C116" s="488">
        <v>0.35</v>
      </c>
      <c r="D116" s="488">
        <f>C116</f>
        <v>0.35</v>
      </c>
      <c r="E116" s="493">
        <f>D116*1.05</f>
        <v>0.36749999999999999</v>
      </c>
      <c r="F116" s="493">
        <f>E116*1.05</f>
        <v>0.38587500000000002</v>
      </c>
      <c r="G116" s="493">
        <f>F116*1.05</f>
        <v>0.40516875000000002</v>
      </c>
    </row>
    <row r="117" spans="1:7" ht="13.8" x14ac:dyDescent="0.3">
      <c r="A117" s="507"/>
      <c r="B117" s="486" t="s">
        <v>295</v>
      </c>
      <c r="C117" s="497">
        <f>C115*C116</f>
        <v>7000</v>
      </c>
      <c r="D117" s="497">
        <f t="shared" ref="D117:G117" si="26">D115*D116</f>
        <v>42000</v>
      </c>
      <c r="E117" s="497">
        <f t="shared" si="26"/>
        <v>44100</v>
      </c>
      <c r="F117" s="497">
        <f t="shared" si="26"/>
        <v>46305</v>
      </c>
      <c r="G117" s="497">
        <f t="shared" si="26"/>
        <v>48620.25</v>
      </c>
    </row>
    <row r="118" spans="1:7" ht="13.8" x14ac:dyDescent="0.3">
      <c r="A118" s="485"/>
      <c r="B118" s="524"/>
      <c r="C118" s="501"/>
      <c r="D118" s="500"/>
      <c r="E118" s="501"/>
      <c r="F118" s="500"/>
      <c r="G118" s="501"/>
    </row>
    <row r="119" spans="1:7" ht="27.75" customHeight="1" x14ac:dyDescent="0.3">
      <c r="A119" s="657" t="s">
        <v>296</v>
      </c>
      <c r="B119" s="658"/>
      <c r="C119" s="511">
        <f t="shared" ref="C119:G119" si="27">C107+C111+C114+C117</f>
        <v>66653</v>
      </c>
      <c r="D119" s="511">
        <f t="shared" si="27"/>
        <v>246653</v>
      </c>
      <c r="E119" s="511">
        <f t="shared" si="27"/>
        <v>258446.47500000001</v>
      </c>
      <c r="F119" s="511">
        <f t="shared" si="27"/>
        <v>270821.53612499998</v>
      </c>
      <c r="G119" s="511">
        <f t="shared" si="27"/>
        <v>283807.14136687503</v>
      </c>
    </row>
    <row r="124" spans="1:7" ht="17.25" customHeight="1" x14ac:dyDescent="0.25"/>
  </sheetData>
  <mergeCells count="3">
    <mergeCell ref="A100:B100"/>
    <mergeCell ref="A119:B119"/>
    <mergeCell ref="A103:F103"/>
  </mergeCell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5:L117"/>
  <sheetViews>
    <sheetView topLeftCell="A97" workbookViewId="0">
      <selection activeCell="B116" sqref="B116:J116"/>
    </sheetView>
  </sheetViews>
  <sheetFormatPr defaultRowHeight="13.2" x14ac:dyDescent="0.25"/>
  <cols>
    <col min="2" max="2" width="16.44140625" customWidth="1"/>
    <col min="3" max="7" width="14.33203125" bestFit="1" customWidth="1"/>
    <col min="8" max="8" width="11.6640625" bestFit="1" customWidth="1"/>
    <col min="9" max="9" width="11.5546875" bestFit="1" customWidth="1"/>
    <col min="11" max="11" width="22" bestFit="1" customWidth="1"/>
    <col min="12" max="12" width="12.88671875" bestFit="1" customWidth="1"/>
  </cols>
  <sheetData>
    <row r="5" spans="2:12" ht="17.399999999999999" x14ac:dyDescent="0.3">
      <c r="B5" s="670" t="s">
        <v>391</v>
      </c>
      <c r="C5" s="641"/>
      <c r="D5" s="641"/>
      <c r="E5" s="641"/>
      <c r="F5" s="641"/>
      <c r="G5" s="641"/>
      <c r="H5" s="641"/>
    </row>
    <row r="6" spans="2:12" ht="16.8" x14ac:dyDescent="0.3">
      <c r="B6" s="151"/>
      <c r="C6" s="151"/>
      <c r="D6" s="151"/>
      <c r="E6" s="151"/>
      <c r="F6" s="151"/>
      <c r="G6" s="151"/>
      <c r="H6" s="151"/>
    </row>
    <row r="7" spans="2:12" ht="13.8" x14ac:dyDescent="0.3">
      <c r="B7" s="565" t="s">
        <v>392</v>
      </c>
      <c r="C7" s="545" t="s">
        <v>393</v>
      </c>
      <c r="D7" s="545" t="s">
        <v>306</v>
      </c>
      <c r="E7" s="545" t="s">
        <v>307</v>
      </c>
      <c r="F7" s="545" t="s">
        <v>308</v>
      </c>
      <c r="G7" s="545" t="s">
        <v>309</v>
      </c>
      <c r="H7" s="545" t="s">
        <v>310</v>
      </c>
    </row>
    <row r="8" spans="2:12" ht="13.8" x14ac:dyDescent="0.3">
      <c r="B8" s="574"/>
      <c r="C8" s="566"/>
      <c r="D8" s="566"/>
      <c r="E8" s="566"/>
      <c r="F8" s="566"/>
      <c r="G8" s="566"/>
      <c r="H8" s="566"/>
    </row>
    <row r="9" spans="2:12" ht="24" x14ac:dyDescent="0.3">
      <c r="B9" s="574" t="s">
        <v>430</v>
      </c>
      <c r="C9" s="566"/>
      <c r="D9" s="567">
        <f>'3. profitability'!E47</f>
        <v>-2175797.3221146194</v>
      </c>
      <c r="E9" s="567">
        <f>'3. profitability'!F47</f>
        <v>-85965.688809308456</v>
      </c>
      <c r="F9" s="567">
        <f>'3. profitability'!G47</f>
        <v>1690034.1290576886</v>
      </c>
      <c r="G9" s="567">
        <f>'3. profitability'!H47</f>
        <v>2026024.0900477835</v>
      </c>
      <c r="H9" s="567">
        <f>'3. profitability'!I47</f>
        <v>3104837.7053310839</v>
      </c>
    </row>
    <row r="10" spans="2:12" ht="13.8" x14ac:dyDescent="0.3">
      <c r="B10" s="574"/>
      <c r="C10" s="566"/>
      <c r="D10" s="567"/>
      <c r="E10" s="567"/>
      <c r="F10" s="567"/>
      <c r="G10" s="567"/>
      <c r="H10" s="567"/>
    </row>
    <row r="11" spans="2:12" ht="13.8" x14ac:dyDescent="0.3">
      <c r="B11" s="575" t="s">
        <v>531</v>
      </c>
      <c r="C11" s="568"/>
      <c r="D11" s="567">
        <f>'3. profitability'!E42</f>
        <v>908043.21875</v>
      </c>
      <c r="E11" s="567">
        <f>'3. profitability'!F42</f>
        <v>1538848.471875</v>
      </c>
      <c r="F11" s="567">
        <f>'3. profitability'!G42</f>
        <v>1305313.7010937501</v>
      </c>
      <c r="G11" s="567">
        <f>'3. profitability'!H42</f>
        <v>1108060.8959296874</v>
      </c>
      <c r="H11" s="567">
        <f>'3. profitability'!I42</f>
        <v>941130.18654023437</v>
      </c>
    </row>
    <row r="12" spans="2:12" ht="24" x14ac:dyDescent="0.3">
      <c r="B12" s="574" t="s">
        <v>394</v>
      </c>
      <c r="C12" s="566"/>
      <c r="D12" s="567">
        <f>'3. profitability'!E40</f>
        <v>24000</v>
      </c>
      <c r="E12" s="567">
        <f>'3. profitability'!F40</f>
        <v>24000</v>
      </c>
      <c r="F12" s="567">
        <f>'3. profitability'!G40</f>
        <v>24000</v>
      </c>
      <c r="G12" s="567">
        <f>'3. profitability'!H40</f>
        <v>24000</v>
      </c>
      <c r="H12" s="567">
        <f>'3. profitability'!I40</f>
        <v>24000</v>
      </c>
    </row>
    <row r="13" spans="2:12" ht="13.8" x14ac:dyDescent="0.3">
      <c r="B13" s="574"/>
      <c r="C13" s="566"/>
      <c r="D13" s="566"/>
      <c r="E13" s="566"/>
      <c r="F13" s="566"/>
      <c r="G13" s="566"/>
      <c r="H13" s="566"/>
    </row>
    <row r="14" spans="2:12" ht="13.8" x14ac:dyDescent="0.3">
      <c r="B14" s="574" t="s">
        <v>395</v>
      </c>
      <c r="C14" s="566"/>
      <c r="D14" s="567">
        <f>SUM(D9:D13)</f>
        <v>-1243754.1033646194</v>
      </c>
      <c r="E14" s="567">
        <f t="shared" ref="E14:H14" si="0">SUM(E9:E13)</f>
        <v>1476882.7830656916</v>
      </c>
      <c r="F14" s="567">
        <f t="shared" si="0"/>
        <v>3019347.8301514387</v>
      </c>
      <c r="G14" s="567">
        <f t="shared" si="0"/>
        <v>3158084.9859774709</v>
      </c>
      <c r="H14" s="567">
        <f t="shared" si="0"/>
        <v>4069967.8918713182</v>
      </c>
      <c r="K14" s="109"/>
      <c r="L14" s="81"/>
    </row>
    <row r="15" spans="2:12" ht="24" x14ac:dyDescent="0.3">
      <c r="B15" s="574" t="s">
        <v>396</v>
      </c>
      <c r="C15" s="569">
        <f>'2. Budget'!C66</f>
        <v>12218076.25</v>
      </c>
      <c r="D15" s="567">
        <f t="shared" ref="D15:H15" si="1">D14</f>
        <v>-1243754.1033646194</v>
      </c>
      <c r="E15" s="567">
        <f t="shared" si="1"/>
        <v>1476882.7830656916</v>
      </c>
      <c r="F15" s="567">
        <f t="shared" si="1"/>
        <v>3019347.8301514387</v>
      </c>
      <c r="G15" s="567">
        <f t="shared" si="1"/>
        <v>3158084.9859774709</v>
      </c>
      <c r="H15" s="567">
        <f t="shared" si="1"/>
        <v>4069967.8918713182</v>
      </c>
    </row>
    <row r="16" spans="2:12" ht="13.8" x14ac:dyDescent="0.3">
      <c r="B16" s="574" t="s">
        <v>397</v>
      </c>
      <c r="C16" s="570">
        <v>0.12989999999999999</v>
      </c>
      <c r="D16" s="567"/>
      <c r="E16" s="567"/>
      <c r="F16" s="567"/>
      <c r="G16" s="567"/>
      <c r="H16" s="567"/>
    </row>
    <row r="17" spans="2:11" ht="13.8" x14ac:dyDescent="0.3">
      <c r="B17" s="574"/>
      <c r="C17" s="566"/>
      <c r="D17" s="566"/>
      <c r="E17" s="566"/>
      <c r="F17" s="566"/>
      <c r="G17" s="566"/>
      <c r="H17" s="566"/>
    </row>
    <row r="18" spans="2:11" ht="24" x14ac:dyDescent="0.3">
      <c r="B18" s="576" t="s">
        <v>398</v>
      </c>
      <c r="C18" s="571"/>
      <c r="D18" s="572">
        <f>1/(1+$C$16)</f>
        <v>0.88503407381184185</v>
      </c>
      <c r="E18" s="572">
        <f t="shared" ref="E18:H18" si="2">D18/(1+$C$16)</f>
        <v>0.78328531180798466</v>
      </c>
      <c r="F18" s="572">
        <f t="shared" si="2"/>
        <v>0.69323419046639945</v>
      </c>
      <c r="G18" s="572">
        <f t="shared" si="2"/>
        <v>0.61353587969413181</v>
      </c>
      <c r="H18" s="572">
        <f t="shared" si="2"/>
        <v>0.54300015903542953</v>
      </c>
      <c r="K18" s="126"/>
    </row>
    <row r="19" spans="2:11" ht="24" x14ac:dyDescent="0.3">
      <c r="B19" s="574" t="s">
        <v>399</v>
      </c>
      <c r="C19" s="566"/>
      <c r="D19" s="567">
        <f>D14*D18</f>
        <v>-1100764.7609209837</v>
      </c>
      <c r="E19" s="567">
        <f t="shared" ref="E19:H19" si="3">E14*E18</f>
        <v>1156820.5912374544</v>
      </c>
      <c r="F19" s="567">
        <f t="shared" si="3"/>
        <v>2093115.1487715123</v>
      </c>
      <c r="G19" s="567">
        <f t="shared" si="3"/>
        <v>1937598.4500205175</v>
      </c>
      <c r="H19" s="567">
        <f t="shared" si="3"/>
        <v>2209993.2125552176</v>
      </c>
    </row>
    <row r="20" spans="2:11" ht="24" x14ac:dyDescent="0.3">
      <c r="B20" s="574" t="s">
        <v>400</v>
      </c>
      <c r="C20" s="566"/>
      <c r="D20" s="671">
        <v>12218076.25</v>
      </c>
      <c r="E20" s="672"/>
      <c r="F20" s="672"/>
      <c r="G20" s="672"/>
      <c r="H20" s="672"/>
    </row>
    <row r="21" spans="2:11" ht="13.8" x14ac:dyDescent="0.3">
      <c r="B21" s="574"/>
      <c r="C21" s="566"/>
      <c r="D21" s="567"/>
      <c r="E21" s="567"/>
      <c r="F21" s="567"/>
      <c r="G21" s="567"/>
      <c r="H21" s="567"/>
    </row>
    <row r="22" spans="2:11" ht="13.8" x14ac:dyDescent="0.3">
      <c r="B22" s="573" t="s">
        <v>401</v>
      </c>
      <c r="C22" s="573"/>
      <c r="D22" s="671">
        <v>12218076.25</v>
      </c>
      <c r="E22" s="672"/>
      <c r="F22" s="672"/>
      <c r="G22" s="672"/>
      <c r="H22" s="672"/>
    </row>
    <row r="23" spans="2:11" x14ac:dyDescent="0.25">
      <c r="F23" s="190"/>
    </row>
    <row r="24" spans="2:11" ht="13.8" x14ac:dyDescent="0.3">
      <c r="B24" s="673" t="s">
        <v>402</v>
      </c>
      <c r="C24" s="641"/>
      <c r="D24" s="641"/>
      <c r="E24" s="641"/>
      <c r="F24" s="641"/>
      <c r="G24" s="641"/>
      <c r="H24" s="641"/>
    </row>
    <row r="25" spans="2:11" ht="22.5" customHeight="1" x14ac:dyDescent="0.3">
      <c r="B25" s="669" t="s">
        <v>446</v>
      </c>
      <c r="C25" s="669"/>
      <c r="D25" s="669"/>
      <c r="E25" s="669"/>
      <c r="F25" s="669"/>
      <c r="G25" s="669"/>
      <c r="H25" s="669"/>
    </row>
    <row r="27" spans="2:11" ht="17.399999999999999" x14ac:dyDescent="0.3">
      <c r="B27" s="642" t="s">
        <v>403</v>
      </c>
      <c r="C27" s="641"/>
      <c r="D27" s="641"/>
      <c r="E27" s="641"/>
      <c r="F27" s="641"/>
      <c r="G27" s="641"/>
      <c r="H27" s="641"/>
    </row>
    <row r="29" spans="2:11" ht="13.8" x14ac:dyDescent="0.25">
      <c r="B29" s="550" t="s">
        <v>0</v>
      </c>
      <c r="C29" s="555" t="s">
        <v>306</v>
      </c>
      <c r="D29" s="555" t="s">
        <v>307</v>
      </c>
      <c r="E29" s="555" t="s">
        <v>308</v>
      </c>
      <c r="F29" s="555" t="s">
        <v>309</v>
      </c>
      <c r="G29" s="556" t="s">
        <v>310</v>
      </c>
      <c r="H29" s="155"/>
    </row>
    <row r="30" spans="2:11" ht="14.4" x14ac:dyDescent="0.3">
      <c r="B30" s="546"/>
      <c r="C30" s="546"/>
      <c r="D30" s="546"/>
      <c r="E30" s="546"/>
      <c r="F30" s="546"/>
      <c r="G30" s="547"/>
      <c r="H30" s="156"/>
    </row>
    <row r="31" spans="2:11" ht="14.4" x14ac:dyDescent="0.3">
      <c r="B31" s="546"/>
      <c r="C31" s="546"/>
      <c r="D31" s="546"/>
      <c r="E31" s="546"/>
      <c r="F31" s="546"/>
      <c r="G31" s="547"/>
      <c r="H31" s="156"/>
    </row>
    <row r="32" spans="2:11" ht="14.4" x14ac:dyDescent="0.3">
      <c r="B32" s="546" t="s">
        <v>404</v>
      </c>
      <c r="C32" s="548">
        <f>'8.Sales'!C10</f>
        <v>1500000</v>
      </c>
      <c r="D32" s="548">
        <f>'8.Sales'!D10</f>
        <v>68032250</v>
      </c>
      <c r="E32" s="548">
        <f>'8.Sales'!E10</f>
        <v>74838475</v>
      </c>
      <c r="F32" s="548">
        <f>'8.Sales'!F10</f>
        <v>82411318</v>
      </c>
      <c r="G32" s="548">
        <f>'8.Sales'!G10</f>
        <v>91129877.239999995</v>
      </c>
      <c r="H32" s="157"/>
    </row>
    <row r="33" spans="2:8" ht="14.4" x14ac:dyDescent="0.3">
      <c r="B33" s="546"/>
      <c r="C33" s="548"/>
      <c r="D33" s="548"/>
      <c r="E33" s="548"/>
      <c r="F33" s="548"/>
      <c r="G33" s="549"/>
      <c r="H33" s="157"/>
    </row>
    <row r="34" spans="2:8" ht="14.4" x14ac:dyDescent="0.3">
      <c r="B34" s="546" t="s">
        <v>405</v>
      </c>
      <c r="C34" s="548">
        <f>'9. Expenses'!C16</f>
        <v>2234253</v>
      </c>
      <c r="D34" s="548">
        <f>'9. Expenses'!D16</f>
        <v>56852517</v>
      </c>
      <c r="E34" s="548">
        <f>'9. Expenses'!E16</f>
        <v>59202642.475000001</v>
      </c>
      <c r="F34" s="548">
        <f>'9. Expenses'!F16</f>
        <v>61484699.696124993</v>
      </c>
      <c r="G34" s="548">
        <f>'9. Expenses'!G16</f>
        <v>63768721.633766875</v>
      </c>
      <c r="H34" s="157"/>
    </row>
    <row r="35" spans="2:8" ht="14.4" x14ac:dyDescent="0.3">
      <c r="B35" s="546"/>
      <c r="C35" s="548"/>
      <c r="D35" s="548"/>
      <c r="E35" s="548"/>
      <c r="F35" s="548"/>
      <c r="G35" s="549"/>
      <c r="H35" s="157"/>
    </row>
    <row r="36" spans="2:8" ht="13.8" x14ac:dyDescent="0.25">
      <c r="B36" s="550" t="s">
        <v>190</v>
      </c>
      <c r="C36" s="551">
        <f>C32-C34</f>
        <v>-734253</v>
      </c>
      <c r="D36" s="551">
        <f t="shared" ref="D36:G36" si="4">D32-D34</f>
        <v>11179733</v>
      </c>
      <c r="E36" s="551">
        <f t="shared" si="4"/>
        <v>15635832.524999999</v>
      </c>
      <c r="F36" s="551">
        <f t="shared" si="4"/>
        <v>20926618.303875007</v>
      </c>
      <c r="G36" s="551">
        <f t="shared" si="4"/>
        <v>27361155.60623312</v>
      </c>
      <c r="H36" s="158"/>
    </row>
    <row r="37" spans="2:8" ht="14.4" x14ac:dyDescent="0.3">
      <c r="B37" s="546"/>
      <c r="C37" s="548"/>
      <c r="D37" s="548"/>
      <c r="E37" s="548"/>
      <c r="F37" s="548"/>
      <c r="G37" s="549"/>
      <c r="H37" s="157"/>
    </row>
    <row r="38" spans="2:8" ht="13.8" x14ac:dyDescent="0.25">
      <c r="B38" s="550" t="s">
        <v>406</v>
      </c>
      <c r="C38" s="551">
        <f>'9. Expenses'!C41</f>
        <v>1138543.21875</v>
      </c>
      <c r="D38" s="551">
        <f>'9. Expenses'!D41</f>
        <v>11248298.471875001</v>
      </c>
      <c r="E38" s="551">
        <f>'9. Expenses'!E41</f>
        <v>13929388.70109375</v>
      </c>
      <c r="F38" s="551">
        <f>'9. Expenses'!F41</f>
        <v>18885702.145929687</v>
      </c>
      <c r="G38" s="551">
        <f>'9. Expenses'!G41</f>
        <v>24243699.686540235</v>
      </c>
      <c r="H38" s="158"/>
    </row>
    <row r="39" spans="2:8" ht="14.4" x14ac:dyDescent="0.3">
      <c r="B39" s="546"/>
      <c r="C39" s="546"/>
      <c r="D39" s="546"/>
      <c r="E39" s="546"/>
      <c r="F39" s="546"/>
      <c r="G39" s="547"/>
      <c r="H39" s="156"/>
    </row>
    <row r="40" spans="2:8" ht="14.4" x14ac:dyDescent="0.3">
      <c r="B40" s="546" t="s">
        <v>407</v>
      </c>
      <c r="C40" s="552">
        <f>C38/C36</f>
        <v>-1.5506143233326932</v>
      </c>
      <c r="D40" s="552">
        <f t="shared" ref="D40:G40" si="5">D38/D36</f>
        <v>1.0061330151511669</v>
      </c>
      <c r="E40" s="552">
        <f t="shared" si="5"/>
        <v>0.89086325776527542</v>
      </c>
      <c r="F40" s="552">
        <f t="shared" si="5"/>
        <v>0.90247272023079805</v>
      </c>
      <c r="G40" s="552">
        <f t="shared" si="5"/>
        <v>0.88606271004932624</v>
      </c>
      <c r="H40" s="159"/>
    </row>
    <row r="41" spans="2:8" ht="14.4" x14ac:dyDescent="0.3">
      <c r="B41" s="506"/>
      <c r="C41" s="506"/>
      <c r="D41" s="506"/>
      <c r="E41" s="506"/>
      <c r="F41" s="506"/>
      <c r="G41" s="506"/>
      <c r="H41" s="152"/>
    </row>
    <row r="42" spans="2:8" ht="14.4" x14ac:dyDescent="0.3">
      <c r="B42" s="553" t="s">
        <v>408</v>
      </c>
      <c r="C42" s="554">
        <f>AVERAGE(C40:H40)</f>
        <v>0.4269834759727747</v>
      </c>
      <c r="D42" s="506"/>
      <c r="E42" s="506"/>
      <c r="F42" s="506"/>
      <c r="G42" s="506"/>
      <c r="H42" s="152"/>
    </row>
    <row r="44" spans="2:8" ht="13.8" x14ac:dyDescent="0.3">
      <c r="B44" s="668" t="s">
        <v>409</v>
      </c>
      <c r="C44" s="641"/>
      <c r="D44" s="641"/>
      <c r="E44" s="641"/>
      <c r="F44" s="641"/>
      <c r="G44" s="641"/>
      <c r="H44" s="641"/>
    </row>
    <row r="47" spans="2:8" ht="17.399999999999999" x14ac:dyDescent="0.3">
      <c r="B47" s="642" t="s">
        <v>410</v>
      </c>
      <c r="C47" s="641"/>
      <c r="D47" s="641"/>
      <c r="E47" s="641"/>
      <c r="F47" s="641"/>
      <c r="G47" s="641"/>
      <c r="H47" s="641"/>
    </row>
    <row r="49" spans="2:8" ht="13.8" x14ac:dyDescent="0.25">
      <c r="B49" s="550" t="s">
        <v>392</v>
      </c>
      <c r="C49" s="555" t="s">
        <v>306</v>
      </c>
      <c r="D49" s="555" t="s">
        <v>307</v>
      </c>
      <c r="E49" s="555" t="s">
        <v>308</v>
      </c>
      <c r="F49" s="555" t="s">
        <v>309</v>
      </c>
      <c r="G49" s="556" t="s">
        <v>310</v>
      </c>
      <c r="H49" s="165"/>
    </row>
    <row r="50" spans="2:8" ht="14.4" x14ac:dyDescent="0.3">
      <c r="B50" s="546"/>
      <c r="C50" s="546"/>
      <c r="D50" s="546"/>
      <c r="E50" s="546"/>
      <c r="F50" s="546"/>
      <c r="G50" s="547"/>
      <c r="H50" s="156"/>
    </row>
    <row r="51" spans="2:8" ht="14.4" x14ac:dyDescent="0.3">
      <c r="B51" s="546" t="s">
        <v>411</v>
      </c>
      <c r="C51" s="577">
        <f>'3. profitability'!E37</f>
        <v>-1243754.1033646194</v>
      </c>
      <c r="D51" s="577">
        <f>'3. profitability'!F37</f>
        <v>1476882.7830656916</v>
      </c>
      <c r="E51" s="577">
        <f>'3. profitability'!G37</f>
        <v>3019347.8301514387</v>
      </c>
      <c r="F51" s="577">
        <f>'3. profitability'!H37</f>
        <v>3158084.9859774709</v>
      </c>
      <c r="G51" s="577">
        <f>'3. profitability'!I37</f>
        <v>4069967.8918713182</v>
      </c>
      <c r="H51" s="166"/>
    </row>
    <row r="52" spans="2:8" ht="14.4" x14ac:dyDescent="0.3">
      <c r="B52" s="546"/>
      <c r="C52" s="577"/>
      <c r="D52" s="577"/>
      <c r="E52" s="577"/>
      <c r="F52" s="577"/>
      <c r="G52" s="578"/>
      <c r="H52" s="166"/>
    </row>
    <row r="53" spans="2:8" ht="14.4" x14ac:dyDescent="0.3">
      <c r="B53" s="546" t="s">
        <v>412</v>
      </c>
      <c r="C53" s="577">
        <f>'7. depreciation'!H59</f>
        <v>1816086.4375</v>
      </c>
      <c r="D53" s="577">
        <f>'7. depreciation'!I59</f>
        <v>1538848.471875</v>
      </c>
      <c r="E53" s="577">
        <f>'7. depreciation'!J59</f>
        <v>1305313.7010937501</v>
      </c>
      <c r="F53" s="577">
        <f>'7. depreciation'!K59</f>
        <v>1108060.8959296874</v>
      </c>
      <c r="G53" s="577">
        <f>'7. depreciation'!L59</f>
        <v>941130.18654023437</v>
      </c>
      <c r="H53" s="166"/>
    </row>
    <row r="54" spans="2:8" ht="24" x14ac:dyDescent="0.3">
      <c r="B54" s="579" t="s">
        <v>413</v>
      </c>
      <c r="C54" s="577">
        <f>'3. profitability'!E40</f>
        <v>24000</v>
      </c>
      <c r="D54" s="577">
        <f>'3. profitability'!F40</f>
        <v>24000</v>
      </c>
      <c r="E54" s="577">
        <f>'3. profitability'!G40</f>
        <v>24000</v>
      </c>
      <c r="F54" s="577">
        <f>'3. profitability'!H40</f>
        <v>24000</v>
      </c>
      <c r="G54" s="577">
        <f>'3. profitability'!I40</f>
        <v>24000</v>
      </c>
      <c r="H54" s="166"/>
    </row>
    <row r="55" spans="2:8" ht="14.4" x14ac:dyDescent="0.3">
      <c r="B55" s="546"/>
      <c r="C55" s="577"/>
      <c r="D55" s="577"/>
      <c r="E55" s="577"/>
      <c r="F55" s="577"/>
      <c r="G55" s="578"/>
      <c r="H55" s="166"/>
    </row>
    <row r="56" spans="2:8" ht="14.4" x14ac:dyDescent="0.3">
      <c r="B56" s="546" t="s">
        <v>395</v>
      </c>
      <c r="C56" s="577">
        <f>SUM(C51:C55)</f>
        <v>596332.33413538057</v>
      </c>
      <c r="D56" s="577">
        <f t="shared" ref="D56:G56" si="6">SUM(D51:D55)</f>
        <v>3039731.2549406914</v>
      </c>
      <c r="E56" s="577">
        <f t="shared" si="6"/>
        <v>4348661.5312451888</v>
      </c>
      <c r="F56" s="577">
        <f t="shared" si="6"/>
        <v>4290145.8819071585</v>
      </c>
      <c r="G56" s="577">
        <f t="shared" si="6"/>
        <v>5035098.0784115531</v>
      </c>
      <c r="H56" s="166"/>
    </row>
    <row r="57" spans="2:8" ht="14.4" x14ac:dyDescent="0.3">
      <c r="B57" s="546"/>
      <c r="C57" s="546"/>
      <c r="D57" s="546"/>
      <c r="E57" s="546"/>
      <c r="F57" s="546"/>
      <c r="G57" s="547"/>
      <c r="H57" s="156"/>
    </row>
    <row r="58" spans="2:8" ht="14.4" x14ac:dyDescent="0.3">
      <c r="B58" s="546" t="s">
        <v>414</v>
      </c>
      <c r="C58" s="580">
        <f>1/1.1</f>
        <v>0.90909090909090906</v>
      </c>
      <c r="D58" s="580">
        <f t="shared" ref="D58:G58" si="7">C58/1.1</f>
        <v>0.82644628099173545</v>
      </c>
      <c r="E58" s="580">
        <f t="shared" si="7"/>
        <v>0.75131480090157765</v>
      </c>
      <c r="F58" s="580">
        <f t="shared" si="7"/>
        <v>0.68301345536507052</v>
      </c>
      <c r="G58" s="581">
        <f t="shared" si="7"/>
        <v>0.62092132305915493</v>
      </c>
      <c r="H58" s="167"/>
    </row>
    <row r="59" spans="2:8" ht="14.4" x14ac:dyDescent="0.3">
      <c r="B59" s="546"/>
      <c r="C59" s="546"/>
      <c r="D59" s="546"/>
      <c r="E59" s="546"/>
      <c r="F59" s="546"/>
      <c r="G59" s="547"/>
      <c r="H59" s="156"/>
    </row>
    <row r="60" spans="2:8" ht="14.4" x14ac:dyDescent="0.3">
      <c r="B60" s="546" t="s">
        <v>415</v>
      </c>
      <c r="C60" s="548">
        <f t="shared" ref="C60:G60" si="8">C56*C58</f>
        <v>542120.30375943682</v>
      </c>
      <c r="D60" s="548">
        <f t="shared" si="8"/>
        <v>2512174.5908600753</v>
      </c>
      <c r="E60" s="548">
        <f t="shared" si="8"/>
        <v>3267213.7725358289</v>
      </c>
      <c r="F60" s="548">
        <f t="shared" si="8"/>
        <v>2930227.3628216363</v>
      </c>
      <c r="G60" s="549">
        <f t="shared" si="8"/>
        <v>3126399.7605799101</v>
      </c>
      <c r="H60" s="157"/>
    </row>
    <row r="61" spans="2:8" ht="14.4" x14ac:dyDescent="0.3">
      <c r="B61" s="506"/>
      <c r="C61" s="582"/>
      <c r="D61" s="582"/>
      <c r="E61" s="582"/>
      <c r="F61" s="582"/>
      <c r="G61" s="582"/>
      <c r="H61" s="153"/>
    </row>
    <row r="62" spans="2:8" ht="24" x14ac:dyDescent="0.3">
      <c r="B62" s="486" t="s">
        <v>416</v>
      </c>
      <c r="C62" s="511">
        <f>SUM(C60:H60)</f>
        <v>12378135.790556887</v>
      </c>
      <c r="D62" s="582"/>
      <c r="E62" s="582"/>
      <c r="F62" s="582"/>
      <c r="G62" s="582"/>
      <c r="H62" s="153"/>
    </row>
    <row r="63" spans="2:8" ht="14.4" x14ac:dyDescent="0.3">
      <c r="B63" s="506"/>
      <c r="C63" s="582"/>
      <c r="D63" s="582"/>
      <c r="E63" s="582"/>
      <c r="F63" s="582"/>
      <c r="G63" s="582"/>
      <c r="H63" s="153"/>
    </row>
    <row r="64" spans="2:8" ht="24" x14ac:dyDescent="0.3">
      <c r="B64" s="486" t="s">
        <v>417</v>
      </c>
      <c r="C64" s="511">
        <f>'2. Budget'!C66</f>
        <v>12218076.25</v>
      </c>
      <c r="D64" s="582"/>
      <c r="E64" s="582"/>
      <c r="F64" s="582"/>
      <c r="G64" s="582"/>
      <c r="H64" s="153"/>
    </row>
    <row r="65" spans="2:9" ht="14.4" x14ac:dyDescent="0.3">
      <c r="B65" s="506"/>
      <c r="C65" s="583"/>
      <c r="D65" s="506"/>
      <c r="E65" s="506"/>
      <c r="F65" s="506"/>
      <c r="G65" s="506"/>
      <c r="H65" s="152"/>
    </row>
    <row r="66" spans="2:9" ht="14.4" x14ac:dyDescent="0.3">
      <c r="B66" s="553" t="s">
        <v>418</v>
      </c>
      <c r="C66" s="584">
        <f>C62-C64</f>
        <v>160059.54055688716</v>
      </c>
      <c r="D66" s="506"/>
      <c r="E66" s="506"/>
      <c r="F66" s="506"/>
      <c r="G66" s="506"/>
      <c r="H66" s="152"/>
    </row>
    <row r="68" spans="2:9" ht="13.8" x14ac:dyDescent="0.3">
      <c r="B68" s="661" t="s">
        <v>419</v>
      </c>
      <c r="C68" s="641"/>
      <c r="D68" s="641"/>
      <c r="E68" s="641"/>
      <c r="F68" s="641"/>
      <c r="G68" s="641"/>
      <c r="H68" s="641"/>
    </row>
    <row r="69" spans="2:9" ht="17.399999999999999" x14ac:dyDescent="0.3">
      <c r="B69" s="642" t="s">
        <v>420</v>
      </c>
      <c r="C69" s="641"/>
      <c r="D69" s="641"/>
      <c r="E69" s="641"/>
      <c r="F69" s="641"/>
      <c r="G69" s="641"/>
      <c r="H69" s="641"/>
    </row>
    <row r="70" spans="2:9" ht="13.8" x14ac:dyDescent="0.25">
      <c r="B70" s="152"/>
      <c r="C70" s="152"/>
      <c r="D70" s="152"/>
      <c r="E70" s="152"/>
      <c r="F70" s="152"/>
      <c r="G70" s="152"/>
      <c r="H70" s="152"/>
    </row>
    <row r="71" spans="2:9" ht="15.6" x14ac:dyDescent="0.3">
      <c r="B71" s="555" t="s">
        <v>0</v>
      </c>
      <c r="C71" s="555" t="s">
        <v>306</v>
      </c>
      <c r="D71" s="555" t="s">
        <v>307</v>
      </c>
      <c r="E71" s="555" t="s">
        <v>308</v>
      </c>
      <c r="F71" s="555" t="s">
        <v>309</v>
      </c>
      <c r="G71" s="556" t="s">
        <v>310</v>
      </c>
      <c r="H71" s="168"/>
    </row>
    <row r="72" spans="2:9" ht="15.6" x14ac:dyDescent="0.3">
      <c r="B72" s="559"/>
      <c r="C72" s="545"/>
      <c r="D72" s="545"/>
      <c r="E72" s="545"/>
      <c r="F72" s="545"/>
      <c r="G72" s="560"/>
      <c r="H72" s="169"/>
    </row>
    <row r="73" spans="2:9" ht="14.4" x14ac:dyDescent="0.3">
      <c r="B73" s="550" t="s">
        <v>108</v>
      </c>
      <c r="C73" s="548">
        <f>'3. profitability'!E37</f>
        <v>-1243754.1033646194</v>
      </c>
      <c r="D73" s="548">
        <f>'3. profitability'!F37+400000</f>
        <v>1876882.7830656916</v>
      </c>
      <c r="E73" s="548">
        <f>'3. profitability'!G37+400000</f>
        <v>3419347.8301514387</v>
      </c>
      <c r="F73" s="548">
        <f>'3. profitability'!H37+400000</f>
        <v>3558084.9859774709</v>
      </c>
      <c r="G73" s="548">
        <f>'3. profitability'!I37+400000</f>
        <v>4469967.8918713182</v>
      </c>
      <c r="H73" s="157"/>
    </row>
    <row r="74" spans="2:9" ht="14.4" x14ac:dyDescent="0.3">
      <c r="B74" s="546"/>
      <c r="C74" s="561"/>
      <c r="D74" s="561"/>
      <c r="E74" s="561"/>
      <c r="F74" s="561"/>
      <c r="G74" s="562"/>
      <c r="H74" s="156"/>
    </row>
    <row r="75" spans="2:9" ht="14.4" x14ac:dyDescent="0.3">
      <c r="B75" s="563" t="s">
        <v>421</v>
      </c>
      <c r="C75" s="664">
        <f>AVERAGE(C73:H73)</f>
        <v>2416105.8775402596</v>
      </c>
      <c r="D75" s="664"/>
      <c r="E75" s="664"/>
      <c r="F75" s="664"/>
      <c r="G75" s="664"/>
      <c r="H75" s="557"/>
      <c r="I75">
        <f>897794+500000</f>
        <v>1397794</v>
      </c>
    </row>
    <row r="76" spans="2:9" ht="14.4" x14ac:dyDescent="0.3">
      <c r="B76" s="563" t="s">
        <v>422</v>
      </c>
      <c r="C76" s="664">
        <f>'2. Budget'!E54</f>
        <v>12218076.25</v>
      </c>
      <c r="D76" s="664"/>
      <c r="E76" s="664"/>
      <c r="F76" s="664"/>
      <c r="G76" s="664"/>
      <c r="H76" s="558"/>
      <c r="I76">
        <v>9997450</v>
      </c>
    </row>
    <row r="77" spans="2:9" ht="14.4" x14ac:dyDescent="0.3">
      <c r="B77" s="546"/>
      <c r="C77" s="665"/>
      <c r="D77" s="666"/>
      <c r="E77" s="666"/>
      <c r="F77" s="666"/>
      <c r="G77" s="667"/>
      <c r="H77" s="156"/>
    </row>
    <row r="78" spans="2:9" ht="14.4" x14ac:dyDescent="0.3">
      <c r="B78" s="564" t="s">
        <v>423</v>
      </c>
      <c r="C78" s="662">
        <f>C75/C76</f>
        <v>0.19774846940738805</v>
      </c>
      <c r="D78" s="662"/>
      <c r="E78" s="662"/>
      <c r="F78" s="662"/>
      <c r="G78" s="662"/>
      <c r="H78" s="557"/>
      <c r="I78">
        <f>I75/I76*100</f>
        <v>13.981505283847381</v>
      </c>
    </row>
    <row r="81" spans="2:8" ht="14.4" x14ac:dyDescent="0.3">
      <c r="B81" s="660" t="s">
        <v>424</v>
      </c>
      <c r="C81" s="641"/>
      <c r="D81" s="641"/>
      <c r="E81" s="641"/>
      <c r="F81" s="641"/>
      <c r="G81" s="641"/>
      <c r="H81" s="641"/>
    </row>
    <row r="83" spans="2:8" ht="17.399999999999999" x14ac:dyDescent="0.3">
      <c r="B83" s="642" t="s">
        <v>425</v>
      </c>
      <c r="C83" s="641"/>
      <c r="D83" s="641"/>
      <c r="E83" s="641"/>
      <c r="F83" s="641"/>
      <c r="G83" s="641"/>
      <c r="H83" s="641"/>
    </row>
    <row r="85" spans="2:8" x14ac:dyDescent="0.25">
      <c r="B85" s="539" t="s">
        <v>0</v>
      </c>
      <c r="C85" s="539" t="s">
        <v>393</v>
      </c>
      <c r="D85" s="539" t="s">
        <v>306</v>
      </c>
      <c r="E85" s="539" t="s">
        <v>307</v>
      </c>
      <c r="F85" s="539" t="s">
        <v>308</v>
      </c>
      <c r="G85" s="539" t="s">
        <v>309</v>
      </c>
      <c r="H85" s="539" t="s">
        <v>310</v>
      </c>
    </row>
    <row r="86" spans="2:8" x14ac:dyDescent="0.25">
      <c r="B86" s="589"/>
      <c r="C86" s="585"/>
      <c r="D86" s="539"/>
      <c r="E86" s="539"/>
      <c r="F86" s="539"/>
      <c r="G86" s="539"/>
      <c r="H86" s="539"/>
    </row>
    <row r="87" spans="2:8" x14ac:dyDescent="0.25">
      <c r="B87" s="588" t="s">
        <v>426</v>
      </c>
      <c r="C87" s="586">
        <f>'2. Budget'!E54</f>
        <v>12218076.25</v>
      </c>
      <c r="D87" s="539"/>
      <c r="E87" s="539"/>
      <c r="F87" s="539"/>
      <c r="G87" s="539"/>
      <c r="H87" s="539"/>
    </row>
    <row r="88" spans="2:8" ht="24" x14ac:dyDescent="0.25">
      <c r="B88" s="588" t="str">
        <f>B51</f>
        <v>Profit after Tax &amp; Dividend</v>
      </c>
      <c r="C88" s="540"/>
      <c r="D88" s="541">
        <f>'3. profitability'!E47</f>
        <v>-2175797.3221146194</v>
      </c>
      <c r="E88" s="541">
        <f>'3. profitability'!F47</f>
        <v>-85965.688809308456</v>
      </c>
      <c r="F88" s="541">
        <f>'3. profitability'!G47</f>
        <v>1690034.1290576886</v>
      </c>
      <c r="G88" s="541">
        <f>'3. profitability'!H47</f>
        <v>2026024.0900477835</v>
      </c>
      <c r="H88" s="541">
        <f>'3. profitability'!I47</f>
        <v>3104837.7053310839</v>
      </c>
    </row>
    <row r="89" spans="2:8" x14ac:dyDescent="0.25">
      <c r="B89" s="588" t="str">
        <f>B53</f>
        <v>Add: Deprication</v>
      </c>
      <c r="C89" s="540"/>
      <c r="D89" s="541">
        <f>'3. profitability'!E42*2</f>
        <v>1816086.4375</v>
      </c>
      <c r="E89" s="541">
        <f>'3. profitability'!F42</f>
        <v>1538848.471875</v>
      </c>
      <c r="F89" s="541">
        <f>'3. profitability'!G42</f>
        <v>1305313.7010937501</v>
      </c>
      <c r="G89" s="541">
        <f>'3. profitability'!H42</f>
        <v>1108060.8959296874</v>
      </c>
      <c r="H89" s="541">
        <f>'3. profitability'!I42</f>
        <v>941130.18654023437</v>
      </c>
    </row>
    <row r="90" spans="2:8" ht="24" x14ac:dyDescent="0.25">
      <c r="B90" s="588" t="str">
        <f t="shared" ref="B90" si="9">B54</f>
        <v>Add. Preliminary exp Written off</v>
      </c>
      <c r="C90" s="540"/>
      <c r="D90" s="541">
        <f>'3. profitability'!E40</f>
        <v>24000</v>
      </c>
      <c r="E90" s="541">
        <f>'3. profitability'!F40</f>
        <v>24000</v>
      </c>
      <c r="F90" s="541">
        <f>'3. profitability'!G40</f>
        <v>24000</v>
      </c>
      <c r="G90" s="541">
        <f>'3. profitability'!H40</f>
        <v>24000</v>
      </c>
      <c r="H90" s="541">
        <f>'3. profitability'!I40</f>
        <v>24000</v>
      </c>
    </row>
    <row r="91" spans="2:8" ht="24" x14ac:dyDescent="0.25">
      <c r="B91" s="588" t="str">
        <f>B56</f>
        <v xml:space="preserve">Net Cash Accrual (A)      </v>
      </c>
      <c r="C91" s="540"/>
      <c r="D91" s="541">
        <f>SUM(D88:D90)</f>
        <v>-335710.88461461943</v>
      </c>
      <c r="E91" s="541">
        <f>SUM(E88:E90)+200000</f>
        <v>1676882.7830656916</v>
      </c>
      <c r="F91" s="541">
        <f>SUM(F88:F90)+200000</f>
        <v>3219347.8301514387</v>
      </c>
      <c r="G91" s="541">
        <f>SUM(G88:G90)+200000</f>
        <v>3358084.9859774709</v>
      </c>
      <c r="H91" s="541">
        <f>SUM(H88:H90)+200000</f>
        <v>4269967.8918713182</v>
      </c>
    </row>
    <row r="92" spans="2:8" ht="24" x14ac:dyDescent="0.25">
      <c r="B92" s="588" t="s">
        <v>427</v>
      </c>
      <c r="C92" s="587"/>
      <c r="D92" s="542">
        <f>D91-C87</f>
        <v>-12553787.13461462</v>
      </c>
      <c r="E92" s="542">
        <f t="shared" ref="E92:H92" si="10">D92+E91</f>
        <v>-10876904.351548929</v>
      </c>
      <c r="F92" s="542">
        <f t="shared" si="10"/>
        <v>-7657556.5213974901</v>
      </c>
      <c r="G92" s="542">
        <f t="shared" si="10"/>
        <v>-4299471.5354200192</v>
      </c>
      <c r="H92" s="542">
        <f t="shared" si="10"/>
        <v>-29503.643548700958</v>
      </c>
    </row>
    <row r="93" spans="2:8" x14ac:dyDescent="0.25">
      <c r="B93" s="543"/>
      <c r="C93" s="543"/>
      <c r="D93" s="543"/>
      <c r="E93" s="543"/>
      <c r="F93" s="543"/>
      <c r="G93" s="543"/>
      <c r="H93" s="543"/>
    </row>
    <row r="94" spans="2:8" ht="27.75" customHeight="1" x14ac:dyDescent="0.25">
      <c r="B94" s="663" t="s">
        <v>428</v>
      </c>
      <c r="C94" s="663"/>
      <c r="D94" s="591">
        <f>4+(-G92/H91)</f>
        <v>5.0069095703517741</v>
      </c>
      <c r="E94" s="543"/>
      <c r="F94" s="543"/>
      <c r="G94" s="543"/>
      <c r="H94" s="543"/>
    </row>
    <row r="96" spans="2:8" ht="14.4" x14ac:dyDescent="0.3">
      <c r="B96" s="660" t="s">
        <v>429</v>
      </c>
      <c r="C96" s="641"/>
      <c r="D96" s="641"/>
      <c r="E96" s="641"/>
      <c r="F96" s="641"/>
      <c r="G96" s="641"/>
      <c r="H96" s="641"/>
    </row>
    <row r="97" spans="2:9" ht="14.4" x14ac:dyDescent="0.3">
      <c r="B97" s="180"/>
    </row>
    <row r="98" spans="2:9" ht="14.4" x14ac:dyDescent="0.3">
      <c r="B98" s="180"/>
    </row>
    <row r="99" spans="2:9" ht="14.4" x14ac:dyDescent="0.3">
      <c r="B99" s="180"/>
    </row>
    <row r="100" spans="2:9" ht="17.399999999999999" x14ac:dyDescent="0.3">
      <c r="B100" s="642" t="s">
        <v>497</v>
      </c>
      <c r="C100" s="642"/>
      <c r="D100" s="642"/>
      <c r="E100" s="642"/>
      <c r="F100" s="642"/>
      <c r="G100" s="642"/>
      <c r="H100" s="642"/>
      <c r="I100" s="642"/>
    </row>
    <row r="102" spans="2:9" ht="15.6" x14ac:dyDescent="0.3">
      <c r="B102" s="592" t="s">
        <v>0</v>
      </c>
      <c r="C102" s="592" t="s">
        <v>306</v>
      </c>
      <c r="D102" s="592" t="s">
        <v>307</v>
      </c>
      <c r="E102" s="592" t="s">
        <v>308</v>
      </c>
      <c r="F102" s="592" t="s">
        <v>309</v>
      </c>
      <c r="G102" s="593" t="s">
        <v>310</v>
      </c>
      <c r="H102" s="191"/>
      <c r="I102" s="191"/>
    </row>
    <row r="103" spans="2:9" ht="15.6" x14ac:dyDescent="0.3">
      <c r="B103" s="585"/>
      <c r="C103" s="539"/>
      <c r="D103" s="539"/>
      <c r="E103" s="539"/>
      <c r="F103" s="539"/>
      <c r="G103" s="594"/>
      <c r="H103" s="192"/>
      <c r="I103" s="192"/>
    </row>
    <row r="104" spans="2:9" ht="24" x14ac:dyDescent="0.25">
      <c r="B104" s="588" t="s">
        <v>498</v>
      </c>
      <c r="C104" s="541">
        <f>'3. profitability'!E37</f>
        <v>-1243754.1033646194</v>
      </c>
      <c r="D104" s="541">
        <f>'3. profitability'!F37</f>
        <v>1476882.7830656916</v>
      </c>
      <c r="E104" s="541">
        <f>'3. profitability'!G37</f>
        <v>3019347.8301514387</v>
      </c>
      <c r="F104" s="541">
        <f>'3. profitability'!H37</f>
        <v>3158084.9859774709</v>
      </c>
      <c r="G104" s="541">
        <f>'3. profitability'!I37</f>
        <v>4069967.8918713182</v>
      </c>
      <c r="H104" s="153"/>
      <c r="I104" s="153"/>
    </row>
    <row r="105" spans="2:9" ht="13.8" x14ac:dyDescent="0.25">
      <c r="B105" s="588" t="s">
        <v>499</v>
      </c>
      <c r="C105" s="541">
        <f>'3. profitability'!E42</f>
        <v>908043.21875</v>
      </c>
      <c r="D105" s="541">
        <f>'3. profitability'!F42</f>
        <v>1538848.471875</v>
      </c>
      <c r="E105" s="541">
        <f>'3. profitability'!G42</f>
        <v>1305313.7010937501</v>
      </c>
      <c r="F105" s="541">
        <f>'3. profitability'!H42</f>
        <v>1108060.8959296874</v>
      </c>
      <c r="G105" s="541">
        <f>'3. profitability'!I42</f>
        <v>941130.18654023437</v>
      </c>
      <c r="H105" s="153"/>
      <c r="I105" s="153"/>
    </row>
    <row r="106" spans="2:9" ht="13.8" x14ac:dyDescent="0.25">
      <c r="B106" s="588" t="s">
        <v>500</v>
      </c>
      <c r="C106" s="541">
        <f>'3. profitability'!E40</f>
        <v>24000</v>
      </c>
      <c r="D106" s="541">
        <f>'3. profitability'!F40</f>
        <v>24000</v>
      </c>
      <c r="E106" s="541">
        <f>'3. profitability'!G40</f>
        <v>24000</v>
      </c>
      <c r="F106" s="541">
        <f>'3. profitability'!H40</f>
        <v>24000</v>
      </c>
      <c r="G106" s="541">
        <f>'3. profitability'!I40</f>
        <v>24000</v>
      </c>
      <c r="H106" s="153"/>
      <c r="I106" s="153"/>
    </row>
    <row r="107" spans="2:9" ht="13.8" x14ac:dyDescent="0.25">
      <c r="B107" s="588" t="s">
        <v>501</v>
      </c>
      <c r="C107" s="541">
        <f>'[2]8.Cash Flow '!C25</f>
        <v>0</v>
      </c>
      <c r="D107" s="541">
        <f>'[2]8.Cash Flow '!D25</f>
        <v>0</v>
      </c>
      <c r="E107" s="541">
        <v>0</v>
      </c>
      <c r="F107" s="541">
        <v>0</v>
      </c>
      <c r="G107" s="595">
        <v>0</v>
      </c>
      <c r="H107" s="153"/>
      <c r="I107" s="153"/>
    </row>
    <row r="108" spans="2:9" ht="13.8" x14ac:dyDescent="0.25">
      <c r="B108" s="600" t="s">
        <v>1</v>
      </c>
      <c r="C108" s="542">
        <f t="shared" ref="C108:G108" si="11">SUM(C104:C107)</f>
        <v>-311710.88461461943</v>
      </c>
      <c r="D108" s="542">
        <f t="shared" si="11"/>
        <v>3039731.2549406914</v>
      </c>
      <c r="E108" s="542">
        <f t="shared" si="11"/>
        <v>4348661.5312451888</v>
      </c>
      <c r="F108" s="542">
        <f t="shared" si="11"/>
        <v>4290145.8819071585</v>
      </c>
      <c r="G108" s="596">
        <f t="shared" si="11"/>
        <v>5035098.0784115531</v>
      </c>
      <c r="H108" s="193"/>
      <c r="I108" s="193"/>
    </row>
    <row r="109" spans="2:9" ht="13.8" x14ac:dyDescent="0.25">
      <c r="B109" s="588"/>
      <c r="C109" s="540"/>
      <c r="D109" s="540"/>
      <c r="E109" s="540"/>
      <c r="F109" s="540"/>
      <c r="G109" s="597"/>
      <c r="H109" s="152"/>
      <c r="I109" s="152"/>
    </row>
    <row r="110" spans="2:9" ht="13.8" x14ac:dyDescent="0.25">
      <c r="B110" s="588" t="s">
        <v>502</v>
      </c>
      <c r="C110" s="542">
        <f>'3. profitability'!E32</f>
        <v>279001.10336461919</v>
      </c>
      <c r="D110" s="542">
        <f>'3. profitability'!F32</f>
        <v>246575.21693430407</v>
      </c>
      <c r="E110" s="542">
        <f>'3. profitability'!G32</f>
        <v>184627.69484855799</v>
      </c>
      <c r="F110" s="542">
        <f>'3. profitability'!H32</f>
        <v>116869.06789754343</v>
      </c>
      <c r="G110" s="542">
        <f>'3. profitability'!I32</f>
        <v>42754.214361808699</v>
      </c>
      <c r="H110" s="193"/>
      <c r="I110" s="193"/>
    </row>
    <row r="111" spans="2:9" ht="13.8" x14ac:dyDescent="0.25">
      <c r="B111" s="588"/>
      <c r="C111" s="540"/>
      <c r="D111" s="540"/>
      <c r="E111" s="540"/>
      <c r="F111" s="540"/>
      <c r="G111" s="597"/>
      <c r="H111" s="152"/>
      <c r="I111" s="152"/>
    </row>
    <row r="112" spans="2:9" ht="36" x14ac:dyDescent="0.25">
      <c r="B112" s="600" t="s">
        <v>503</v>
      </c>
      <c r="C112" s="598">
        <f t="shared" ref="C112:G112" si="12">IF(C110&lt;=0,0,C108/C110)</f>
        <v>-1.1172388956729418</v>
      </c>
      <c r="D112" s="598">
        <f t="shared" si="12"/>
        <v>12.327805254453363</v>
      </c>
      <c r="E112" s="598">
        <f t="shared" si="12"/>
        <v>23.553679391448856</v>
      </c>
      <c r="F112" s="598">
        <f t="shared" si="12"/>
        <v>36.708993740484317</v>
      </c>
      <c r="G112" s="599">
        <f t="shared" si="12"/>
        <v>117.76846221057646</v>
      </c>
      <c r="H112" s="194"/>
      <c r="I112" s="194"/>
    </row>
    <row r="113" spans="2:10" ht="13.8" x14ac:dyDescent="0.25">
      <c r="B113" s="543"/>
      <c r="C113" s="543"/>
      <c r="D113" s="543"/>
      <c r="E113" s="543"/>
      <c r="F113" s="543"/>
      <c r="G113" s="543"/>
      <c r="H113" s="152"/>
      <c r="I113" s="152"/>
    </row>
    <row r="114" spans="2:10" ht="13.8" x14ac:dyDescent="0.25">
      <c r="B114" s="544" t="s">
        <v>504</v>
      </c>
      <c r="C114" s="590">
        <f>AVERAGE(C112:I112)</f>
        <v>37.848340340258012</v>
      </c>
      <c r="D114" s="543"/>
      <c r="E114" s="543"/>
      <c r="F114" s="543"/>
      <c r="G114" s="543"/>
      <c r="H114" s="152"/>
      <c r="I114" s="152"/>
    </row>
    <row r="116" spans="2:10" ht="13.5" customHeight="1" x14ac:dyDescent="0.3">
      <c r="B116" s="661" t="s">
        <v>505</v>
      </c>
      <c r="C116" s="661"/>
      <c r="D116" s="661"/>
      <c r="E116" s="661"/>
      <c r="F116" s="661"/>
      <c r="G116" s="661"/>
      <c r="H116" s="661"/>
      <c r="I116" s="661"/>
      <c r="J116" s="661"/>
    </row>
    <row r="117" spans="2:10" ht="14.4" x14ac:dyDescent="0.3">
      <c r="B117" s="180"/>
    </row>
  </sheetData>
  <mergeCells count="20">
    <mergeCell ref="B25:H25"/>
    <mergeCell ref="B5:H5"/>
    <mergeCell ref="D20:H20"/>
    <mergeCell ref="D22:H22"/>
    <mergeCell ref="B24:H24"/>
    <mergeCell ref="B27:H27"/>
    <mergeCell ref="B83:H83"/>
    <mergeCell ref="B96:H96"/>
    <mergeCell ref="B100:I100"/>
    <mergeCell ref="B116:J116"/>
    <mergeCell ref="C78:G78"/>
    <mergeCell ref="B94:C94"/>
    <mergeCell ref="C75:G75"/>
    <mergeCell ref="C76:G76"/>
    <mergeCell ref="C77:G77"/>
    <mergeCell ref="B81:H81"/>
    <mergeCell ref="B44:H44"/>
    <mergeCell ref="B47:H47"/>
    <mergeCell ref="B68:H68"/>
    <mergeCell ref="B69:H69"/>
  </mergeCells>
  <hyperlinks>
    <hyperlink ref="B24" r:id="rId1" xr:uid="{00000000-0004-0000-0E00-000000000000}"/>
  </hyperlinks>
  <pageMargins left="0.7" right="0.7" top="0.75" bottom="0.75"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3:G7"/>
  <sheetViews>
    <sheetView workbookViewId="0">
      <selection activeCell="J17" sqref="J17"/>
    </sheetView>
  </sheetViews>
  <sheetFormatPr defaultRowHeight="13.2" x14ac:dyDescent="0.25"/>
  <cols>
    <col min="2" max="2" width="21.88671875" bestFit="1" customWidth="1"/>
  </cols>
  <sheetData>
    <row r="3" spans="2:7" x14ac:dyDescent="0.25">
      <c r="B3" s="84" t="s">
        <v>440</v>
      </c>
      <c r="C3" t="e">
        <f>#REF!</f>
        <v>#REF!</v>
      </c>
    </row>
    <row r="5" spans="2:7" x14ac:dyDescent="0.25">
      <c r="C5">
        <v>1</v>
      </c>
      <c r="D5">
        <v>2</v>
      </c>
      <c r="E5">
        <v>3</v>
      </c>
      <c r="F5">
        <v>4</v>
      </c>
      <c r="G5">
        <v>5</v>
      </c>
    </row>
    <row r="6" spans="2:7" ht="26.4" x14ac:dyDescent="0.25">
      <c r="B6" s="163" t="s">
        <v>439</v>
      </c>
      <c r="C6" t="e">
        <f>C3/5</f>
        <v>#REF!</v>
      </c>
      <c r="D6" t="e">
        <f>C3/5</f>
        <v>#REF!</v>
      </c>
      <c r="E6" t="e">
        <f>C3/5</f>
        <v>#REF!</v>
      </c>
      <c r="F6" t="e">
        <f>C3/5</f>
        <v>#REF!</v>
      </c>
      <c r="G6" t="e">
        <f>C3/5</f>
        <v>#REF!</v>
      </c>
    </row>
    <row r="7" spans="2:7" x14ac:dyDescent="0.25">
      <c r="B7" s="84"/>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3:P16"/>
  <sheetViews>
    <sheetView workbookViewId="0">
      <selection activeCell="N19" sqref="N19"/>
    </sheetView>
  </sheetViews>
  <sheetFormatPr defaultRowHeight="13.2" x14ac:dyDescent="0.25"/>
  <cols>
    <col min="2" max="2" width="14.5546875" customWidth="1"/>
  </cols>
  <sheetData>
    <row r="3" spans="1:16" x14ac:dyDescent="0.25">
      <c r="B3" s="601" t="s">
        <v>1</v>
      </c>
      <c r="C3" s="601" t="s">
        <v>532</v>
      </c>
      <c r="D3" s="601" t="s">
        <v>533</v>
      </c>
      <c r="E3" s="601" t="s">
        <v>540</v>
      </c>
      <c r="F3" s="601" t="s">
        <v>534</v>
      </c>
      <c r="G3" s="601" t="s">
        <v>535</v>
      </c>
      <c r="H3" s="601" t="s">
        <v>536</v>
      </c>
      <c r="I3" s="601" t="s">
        <v>537</v>
      </c>
      <c r="J3" s="601" t="s">
        <v>536</v>
      </c>
      <c r="K3" s="601" t="s">
        <v>538</v>
      </c>
      <c r="L3" s="84" t="s">
        <v>539</v>
      </c>
    </row>
    <row r="4" spans="1:16" x14ac:dyDescent="0.25">
      <c r="B4" s="105">
        <v>361</v>
      </c>
      <c r="C4" s="105">
        <v>185</v>
      </c>
      <c r="D4" s="105">
        <v>176</v>
      </c>
      <c r="E4" s="105">
        <v>253</v>
      </c>
      <c r="F4" s="105">
        <v>70</v>
      </c>
      <c r="G4" s="105">
        <v>38</v>
      </c>
      <c r="H4" s="105">
        <v>301</v>
      </c>
      <c r="I4" s="105">
        <v>26</v>
      </c>
      <c r="J4" s="105">
        <v>26</v>
      </c>
      <c r="K4" s="105">
        <v>8</v>
      </c>
      <c r="L4">
        <v>0</v>
      </c>
      <c r="N4">
        <f>437-361</f>
        <v>76</v>
      </c>
      <c r="P4">
        <v>361</v>
      </c>
    </row>
    <row r="5" spans="1:16" x14ac:dyDescent="0.25">
      <c r="B5" s="105">
        <v>361</v>
      </c>
      <c r="C5" s="105">
        <v>361</v>
      </c>
      <c r="D5" s="105">
        <v>361</v>
      </c>
      <c r="E5" s="105">
        <v>361</v>
      </c>
      <c r="F5" s="105">
        <v>361</v>
      </c>
      <c r="G5" s="105">
        <v>361</v>
      </c>
      <c r="H5" s="105">
        <v>361</v>
      </c>
      <c r="I5" s="105">
        <v>361</v>
      </c>
      <c r="J5" s="105">
        <v>361</v>
      </c>
      <c r="K5" s="105">
        <v>361</v>
      </c>
      <c r="N5">
        <f>102-76</f>
        <v>26</v>
      </c>
      <c r="P5">
        <v>311</v>
      </c>
    </row>
    <row r="6" spans="1:16" x14ac:dyDescent="0.25">
      <c r="A6" s="84" t="s">
        <v>515</v>
      </c>
      <c r="B6" s="110" t="s">
        <v>541</v>
      </c>
      <c r="C6" s="602">
        <f>C4/C5*100</f>
        <v>51.24653739612188</v>
      </c>
      <c r="D6" s="602">
        <f t="shared" ref="D6:K6" si="0">D4/D5*100</f>
        <v>48.75346260387812</v>
      </c>
      <c r="E6" s="602">
        <f t="shared" si="0"/>
        <v>70.08310249307479</v>
      </c>
      <c r="F6" s="602">
        <f t="shared" si="0"/>
        <v>19.390581717451525</v>
      </c>
      <c r="G6" s="602">
        <f>G4/G5*100</f>
        <v>10.526315789473683</v>
      </c>
      <c r="H6" s="602">
        <f t="shared" si="0"/>
        <v>83.37950138504155</v>
      </c>
      <c r="I6" s="602">
        <f t="shared" si="0"/>
        <v>7.202216066481995</v>
      </c>
      <c r="J6" s="602">
        <f t="shared" si="0"/>
        <v>7.202216066481995</v>
      </c>
      <c r="K6" s="602">
        <f t="shared" si="0"/>
        <v>2.21606648199446</v>
      </c>
      <c r="P6">
        <f>P4-P5</f>
        <v>50</v>
      </c>
    </row>
    <row r="9" spans="1:16" x14ac:dyDescent="0.25">
      <c r="B9" s="160" t="s">
        <v>432</v>
      </c>
    </row>
    <row r="10" spans="1:16" x14ac:dyDescent="0.25">
      <c r="L10">
        <f>361-108</f>
        <v>253</v>
      </c>
    </row>
    <row r="12" spans="1:16" x14ac:dyDescent="0.25">
      <c r="B12" s="84" t="s">
        <v>433</v>
      </c>
      <c r="C12">
        <f>98*30*6</f>
        <v>17640</v>
      </c>
    </row>
    <row r="13" spans="1:16" ht="26.4" x14ac:dyDescent="0.25">
      <c r="B13" s="161" t="s">
        <v>434</v>
      </c>
    </row>
    <row r="14" spans="1:16" x14ac:dyDescent="0.25">
      <c r="B14" s="84" t="s">
        <v>435</v>
      </c>
      <c r="C14">
        <f>250*1.65*30</f>
        <v>12375</v>
      </c>
    </row>
    <row r="15" spans="1:16" ht="36" x14ac:dyDescent="0.25">
      <c r="B15" s="162" t="s">
        <v>436</v>
      </c>
    </row>
    <row r="16" spans="1:16" x14ac:dyDescent="0.25">
      <c r="B16" s="84" t="s">
        <v>437</v>
      </c>
      <c r="C16">
        <f>C12-C14</f>
        <v>5265</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7:O49"/>
  <sheetViews>
    <sheetView workbookViewId="0">
      <selection activeCell="K21" sqref="K21"/>
    </sheetView>
  </sheetViews>
  <sheetFormatPr defaultRowHeight="13.2" x14ac:dyDescent="0.25"/>
  <cols>
    <col min="2" max="2" width="38.6640625" bestFit="1" customWidth="1"/>
    <col min="11" max="11" width="18" bestFit="1" customWidth="1"/>
  </cols>
  <sheetData>
    <row r="7" spans="2:10" x14ac:dyDescent="0.25">
      <c r="B7" s="104" t="s">
        <v>169</v>
      </c>
      <c r="C7" s="104" t="s">
        <v>161</v>
      </c>
      <c r="D7" s="104" t="s">
        <v>162</v>
      </c>
      <c r="E7" s="104" t="s">
        <v>163</v>
      </c>
    </row>
    <row r="8" spans="2:10" x14ac:dyDescent="0.25">
      <c r="B8" s="105" t="s">
        <v>160</v>
      </c>
      <c r="C8" s="105">
        <v>100</v>
      </c>
      <c r="D8" s="105">
        <v>30</v>
      </c>
      <c r="E8" s="105">
        <f>C8*D8</f>
        <v>3000</v>
      </c>
    </row>
    <row r="9" spans="2:10" x14ac:dyDescent="0.25">
      <c r="B9" s="105" t="s">
        <v>164</v>
      </c>
      <c r="C9" s="105">
        <v>18250</v>
      </c>
      <c r="D9" s="105">
        <v>4</v>
      </c>
      <c r="E9" s="105">
        <f>C9*D9</f>
        <v>73000</v>
      </c>
    </row>
    <row r="10" spans="2:10" x14ac:dyDescent="0.25">
      <c r="B10" s="105" t="s">
        <v>165</v>
      </c>
      <c r="C10" s="105">
        <v>1825</v>
      </c>
      <c r="D10" s="105">
        <v>15</v>
      </c>
      <c r="E10" s="105">
        <f>C10*D10</f>
        <v>27375</v>
      </c>
    </row>
    <row r="11" spans="2:10" x14ac:dyDescent="0.25">
      <c r="B11" s="105" t="s">
        <v>166</v>
      </c>
      <c r="C11" s="105">
        <v>100375</v>
      </c>
      <c r="D11" s="105">
        <v>30</v>
      </c>
      <c r="E11" s="105">
        <f>C11*D11</f>
        <v>3011250</v>
      </c>
      <c r="J11">
        <f>275*365</f>
        <v>100375</v>
      </c>
    </row>
    <row r="12" spans="2:10" x14ac:dyDescent="0.25">
      <c r="B12" s="105" t="s">
        <v>170</v>
      </c>
      <c r="C12" s="105">
        <v>2500</v>
      </c>
      <c r="D12" s="105">
        <v>99</v>
      </c>
      <c r="E12" s="105">
        <f>C12*D12</f>
        <v>247500</v>
      </c>
    </row>
    <row r="13" spans="2:10" x14ac:dyDescent="0.25">
      <c r="B13" s="105" t="s">
        <v>167</v>
      </c>
      <c r="C13" s="105"/>
      <c r="D13" s="105"/>
      <c r="E13" s="105">
        <v>10000</v>
      </c>
    </row>
    <row r="14" spans="2:10" x14ac:dyDescent="0.25">
      <c r="B14" s="105" t="s">
        <v>168</v>
      </c>
      <c r="C14" s="105"/>
      <c r="D14" s="105"/>
      <c r="E14" s="105">
        <v>120000</v>
      </c>
    </row>
    <row r="15" spans="2:10" x14ac:dyDescent="0.25">
      <c r="B15" s="105"/>
      <c r="C15" s="105"/>
      <c r="D15" s="105"/>
      <c r="E15" s="105">
        <f>SUM(E8:E14)</f>
        <v>3492125</v>
      </c>
      <c r="G15">
        <f>34+31</f>
        <v>65</v>
      </c>
    </row>
    <row r="23" spans="3:12" x14ac:dyDescent="0.25">
      <c r="C23" t="s">
        <v>176</v>
      </c>
      <c r="D23">
        <v>3040000</v>
      </c>
      <c r="E23">
        <f>D25</f>
        <v>2736000</v>
      </c>
      <c r="F23">
        <f>E25</f>
        <v>2462400</v>
      </c>
      <c r="G23">
        <f t="shared" ref="G23:H23" si="0">F25</f>
        <v>2216160</v>
      </c>
      <c r="H23">
        <f t="shared" si="0"/>
        <v>1994544</v>
      </c>
    </row>
    <row r="24" spans="3:12" x14ac:dyDescent="0.25">
      <c r="C24" s="106">
        <v>0.1</v>
      </c>
      <c r="D24">
        <f>D23*10%</f>
        <v>304000</v>
      </c>
      <c r="E24">
        <f>E23*10%</f>
        <v>273600</v>
      </c>
      <c r="F24">
        <f t="shared" ref="F24:H24" si="1">F23*10%</f>
        <v>246240</v>
      </c>
      <c r="G24">
        <f t="shared" si="1"/>
        <v>221616</v>
      </c>
      <c r="H24">
        <f t="shared" si="1"/>
        <v>199454.40000000002</v>
      </c>
    </row>
    <row r="25" spans="3:12" x14ac:dyDescent="0.25">
      <c r="C25" t="s">
        <v>175</v>
      </c>
      <c r="D25">
        <f>D23-D24</f>
        <v>2736000</v>
      </c>
      <c r="E25">
        <f>E23-E24</f>
        <v>2462400</v>
      </c>
      <c r="F25">
        <f t="shared" ref="F25:H25" si="2">F23-F24</f>
        <v>2216160</v>
      </c>
      <c r="G25">
        <f t="shared" si="2"/>
        <v>1994544</v>
      </c>
      <c r="H25">
        <f t="shared" si="2"/>
        <v>1795089.6</v>
      </c>
    </row>
    <row r="27" spans="3:12" x14ac:dyDescent="0.25">
      <c r="C27" t="s">
        <v>176</v>
      </c>
      <c r="D27">
        <v>3325040</v>
      </c>
      <c r="E27">
        <f>D29</f>
        <v>2826284</v>
      </c>
      <c r="F27">
        <f>E29</f>
        <v>2402341.4</v>
      </c>
      <c r="G27">
        <f t="shared" ref="G27:H27" si="3">F29</f>
        <v>2041990.19</v>
      </c>
      <c r="H27">
        <f t="shared" si="3"/>
        <v>1735691.6614999999</v>
      </c>
    </row>
    <row r="28" spans="3:12" x14ac:dyDescent="0.25">
      <c r="C28" s="106">
        <v>0.1</v>
      </c>
      <c r="D28">
        <f>D27*15%</f>
        <v>498756</v>
      </c>
      <c r="E28">
        <f t="shared" ref="E28:H28" si="4">E27*15%</f>
        <v>423942.6</v>
      </c>
      <c r="F28">
        <f t="shared" si="4"/>
        <v>360351.20999999996</v>
      </c>
      <c r="G28">
        <f t="shared" si="4"/>
        <v>306298.52849999996</v>
      </c>
      <c r="H28">
        <f t="shared" si="4"/>
        <v>260353.74922499998</v>
      </c>
    </row>
    <row r="29" spans="3:12" x14ac:dyDescent="0.25">
      <c r="C29" t="s">
        <v>175</v>
      </c>
      <c r="D29">
        <f>D27-D28</f>
        <v>2826284</v>
      </c>
      <c r="E29">
        <f>E27-E28</f>
        <v>2402341.4</v>
      </c>
      <c r="F29">
        <f t="shared" ref="F29" si="5">F27-F28</f>
        <v>2041990.19</v>
      </c>
      <c r="G29">
        <f t="shared" ref="G29" si="6">G27-G28</f>
        <v>1735691.6614999999</v>
      </c>
      <c r="H29">
        <f t="shared" ref="H29" si="7">H27-H28</f>
        <v>1475337.912275</v>
      </c>
    </row>
    <row r="31" spans="3:12" x14ac:dyDescent="0.25">
      <c r="K31" t="s">
        <v>105</v>
      </c>
      <c r="L31">
        <v>588000</v>
      </c>
    </row>
    <row r="32" spans="3:12" x14ac:dyDescent="0.25">
      <c r="C32" t="s">
        <v>176</v>
      </c>
      <c r="D32">
        <v>90000</v>
      </c>
      <c r="E32">
        <f>D34</f>
        <v>81000</v>
      </c>
      <c r="F32">
        <f>E34</f>
        <v>72900</v>
      </c>
      <c r="G32">
        <f t="shared" ref="G32:H32" si="8">F34</f>
        <v>65610</v>
      </c>
      <c r="H32">
        <f t="shared" si="8"/>
        <v>59049</v>
      </c>
    </row>
    <row r="33" spans="3:15" x14ac:dyDescent="0.25">
      <c r="C33" s="106">
        <v>0.1</v>
      </c>
      <c r="D33">
        <f>D32*10%</f>
        <v>9000</v>
      </c>
      <c r="E33">
        <f t="shared" ref="E33:H33" si="9">E32*10%</f>
        <v>8100</v>
      </c>
      <c r="F33">
        <f t="shared" si="9"/>
        <v>7290</v>
      </c>
      <c r="G33">
        <f t="shared" si="9"/>
        <v>6561</v>
      </c>
      <c r="H33">
        <f t="shared" si="9"/>
        <v>5904.9000000000005</v>
      </c>
      <c r="K33" s="108" t="s">
        <v>178</v>
      </c>
      <c r="L33" t="s">
        <v>179</v>
      </c>
      <c r="M33" t="s">
        <v>180</v>
      </c>
      <c r="N33" t="s">
        <v>181</v>
      </c>
      <c r="O33">
        <f>1500*30*12</f>
        <v>540000</v>
      </c>
    </row>
    <row r="34" spans="3:15" x14ac:dyDescent="0.25">
      <c r="C34" t="s">
        <v>175</v>
      </c>
      <c r="D34">
        <f>D32-D33</f>
        <v>81000</v>
      </c>
      <c r="E34">
        <f>E32-E33</f>
        <v>72900</v>
      </c>
      <c r="F34">
        <f t="shared" ref="F34" si="10">F32-F33</f>
        <v>65610</v>
      </c>
      <c r="G34">
        <f t="shared" ref="G34" si="11">G32-G33</f>
        <v>59049</v>
      </c>
      <c r="H34">
        <f t="shared" ref="H34" si="12">H32-H33</f>
        <v>53144.1</v>
      </c>
    </row>
    <row r="36" spans="3:15" x14ac:dyDescent="0.25">
      <c r="L36">
        <f>150*15*30*12</f>
        <v>810000</v>
      </c>
    </row>
    <row r="37" spans="3:15" x14ac:dyDescent="0.25">
      <c r="C37" t="s">
        <v>176</v>
      </c>
      <c r="D37">
        <v>119400</v>
      </c>
      <c r="E37">
        <f>D39</f>
        <v>71640</v>
      </c>
      <c r="F37">
        <f>E39</f>
        <v>42984</v>
      </c>
      <c r="G37">
        <f t="shared" ref="G37:H37" si="13">F39</f>
        <v>25790.399999999998</v>
      </c>
      <c r="H37" s="107">
        <f t="shared" si="13"/>
        <v>15474.239999999998</v>
      </c>
    </row>
    <row r="38" spans="3:15" x14ac:dyDescent="0.25">
      <c r="C38" s="106">
        <v>0.1</v>
      </c>
      <c r="D38">
        <f>D37*40%</f>
        <v>47760</v>
      </c>
      <c r="E38">
        <f t="shared" ref="E38:H38" si="14">E37*40%</f>
        <v>28656</v>
      </c>
      <c r="F38" s="107">
        <f t="shared" si="14"/>
        <v>17193.600000000002</v>
      </c>
      <c r="G38" s="107">
        <f t="shared" si="14"/>
        <v>10316.16</v>
      </c>
      <c r="H38" s="107">
        <f t="shared" si="14"/>
        <v>6189.6959999999999</v>
      </c>
      <c r="K38" t="s">
        <v>182</v>
      </c>
    </row>
    <row r="39" spans="3:15" x14ac:dyDescent="0.25">
      <c r="C39" t="s">
        <v>175</v>
      </c>
      <c r="D39">
        <f>D37-D38</f>
        <v>71640</v>
      </c>
      <c r="E39">
        <f>E37-E38</f>
        <v>42984</v>
      </c>
      <c r="F39" s="107">
        <f t="shared" ref="F39" si="15">F37-F38</f>
        <v>25790.399999999998</v>
      </c>
      <c r="G39" s="107">
        <f t="shared" ref="G39" si="16">G37-G38</f>
        <v>15474.239999999998</v>
      </c>
      <c r="H39" s="107">
        <f t="shared" ref="H39" si="17">H37-H38</f>
        <v>9284.5439999999981</v>
      </c>
      <c r="K39" t="s">
        <v>183</v>
      </c>
      <c r="L39">
        <f>100*30*12</f>
        <v>36000</v>
      </c>
    </row>
    <row r="40" spans="3:15" x14ac:dyDescent="0.25">
      <c r="K40" t="s">
        <v>184</v>
      </c>
      <c r="L40">
        <f>100*30*12</f>
        <v>36000</v>
      </c>
    </row>
    <row r="42" spans="3:15" x14ac:dyDescent="0.25">
      <c r="C42" t="s">
        <v>176</v>
      </c>
      <c r="D42">
        <v>950000</v>
      </c>
      <c r="E42">
        <f>D44</f>
        <v>665000</v>
      </c>
      <c r="F42">
        <f>E44</f>
        <v>465500</v>
      </c>
      <c r="G42">
        <f t="shared" ref="G42:H42" si="18">F44</f>
        <v>325850</v>
      </c>
      <c r="H42" s="107">
        <f t="shared" si="18"/>
        <v>228095</v>
      </c>
    </row>
    <row r="43" spans="3:15" x14ac:dyDescent="0.25">
      <c r="C43" s="106">
        <v>0.1</v>
      </c>
      <c r="D43">
        <f>D42*30%</f>
        <v>285000</v>
      </c>
      <c r="E43">
        <f t="shared" ref="E43:H43" si="19">E42*30%</f>
        <v>199500</v>
      </c>
      <c r="F43">
        <f t="shared" si="19"/>
        <v>139650</v>
      </c>
      <c r="G43">
        <f t="shared" si="19"/>
        <v>97755</v>
      </c>
      <c r="H43">
        <f t="shared" si="19"/>
        <v>68428.5</v>
      </c>
    </row>
    <row r="44" spans="3:15" x14ac:dyDescent="0.25">
      <c r="C44" t="s">
        <v>175</v>
      </c>
      <c r="D44">
        <f>D42-D43</f>
        <v>665000</v>
      </c>
      <c r="E44">
        <f>E42-E43</f>
        <v>465500</v>
      </c>
      <c r="F44" s="107">
        <f t="shared" ref="F44" si="20">F42-F43</f>
        <v>325850</v>
      </c>
      <c r="G44" s="107">
        <f t="shared" ref="G44" si="21">G42-G43</f>
        <v>228095</v>
      </c>
      <c r="H44" s="107">
        <f t="shared" ref="H44" si="22">H42-H43</f>
        <v>159666.5</v>
      </c>
    </row>
    <row r="46" spans="3:15" x14ac:dyDescent="0.25">
      <c r="C46" t="s">
        <v>177</v>
      </c>
      <c r="D46">
        <f>D24+D28+D33+D38+D43</f>
        <v>1144516</v>
      </c>
      <c r="E46">
        <f t="shared" ref="E46:H46" si="23">E24+E28+E33+E38+E43</f>
        <v>933798.6</v>
      </c>
      <c r="F46">
        <f t="shared" si="23"/>
        <v>770724.80999999994</v>
      </c>
      <c r="G46">
        <f t="shared" si="23"/>
        <v>642546.68850000005</v>
      </c>
      <c r="H46">
        <f t="shared" si="23"/>
        <v>540331.24522499996</v>
      </c>
    </row>
    <row r="47" spans="3:15" x14ac:dyDescent="0.25">
      <c r="C47" t="s">
        <v>175</v>
      </c>
      <c r="D47">
        <f>D25+D29+D34+D39+D44</f>
        <v>6379924</v>
      </c>
      <c r="E47">
        <f t="shared" ref="E47:H47" si="24">E25+E29+E34+E39+E44</f>
        <v>5446125.4000000004</v>
      </c>
      <c r="F47">
        <f t="shared" si="24"/>
        <v>4675400.59</v>
      </c>
      <c r="G47">
        <f t="shared" si="24"/>
        <v>4032853.9015000002</v>
      </c>
      <c r="H47">
        <f t="shared" si="24"/>
        <v>3492522.6562750004</v>
      </c>
    </row>
    <row r="49" spans="5:8" x14ac:dyDescent="0.25">
      <c r="E49">
        <v>933798</v>
      </c>
      <c r="F49">
        <v>770724</v>
      </c>
      <c r="G49">
        <v>642546</v>
      </c>
      <c r="H49">
        <v>540331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C20"/>
  <sheetViews>
    <sheetView topLeftCell="A6" workbookViewId="0">
      <selection activeCell="B8" sqref="B8"/>
    </sheetView>
  </sheetViews>
  <sheetFormatPr defaultRowHeight="20.100000000000001" customHeight="1" x14ac:dyDescent="0.25"/>
  <cols>
    <col min="1" max="1" width="19.6640625" customWidth="1"/>
    <col min="2" max="2" width="42.88671875" customWidth="1"/>
  </cols>
  <sheetData>
    <row r="3" spans="1:3" ht="20.100000000000001" customHeight="1" x14ac:dyDescent="0.45">
      <c r="A3" s="627" t="s">
        <v>126</v>
      </c>
      <c r="B3" s="628"/>
      <c r="C3" s="68"/>
    </row>
    <row r="4" spans="1:3" ht="20.100000000000001" customHeight="1" x14ac:dyDescent="0.45">
      <c r="A4" s="629" t="s">
        <v>127</v>
      </c>
      <c r="B4" s="630"/>
      <c r="C4" s="68"/>
    </row>
    <row r="5" spans="1:3" ht="20.100000000000001" customHeight="1" x14ac:dyDescent="0.45">
      <c r="A5" s="94"/>
      <c r="B5" s="95"/>
      <c r="C5" s="68"/>
    </row>
    <row r="6" spans="1:3" ht="20.100000000000001" customHeight="1" x14ac:dyDescent="0.45">
      <c r="A6" s="629" t="s">
        <v>128</v>
      </c>
      <c r="B6" s="630"/>
      <c r="C6" s="68"/>
    </row>
    <row r="7" spans="1:3" ht="20.100000000000001" customHeight="1" x14ac:dyDescent="0.3">
      <c r="A7" s="96"/>
      <c r="B7" s="97"/>
      <c r="C7" s="68"/>
    </row>
    <row r="8" spans="1:3" ht="20.100000000000001" customHeight="1" x14ac:dyDescent="0.3">
      <c r="A8" s="96"/>
      <c r="B8" s="97"/>
      <c r="C8" s="68"/>
    </row>
    <row r="9" spans="1:3" ht="20.100000000000001" customHeight="1" x14ac:dyDescent="0.3">
      <c r="A9" s="98" t="s">
        <v>129</v>
      </c>
      <c r="B9" s="99" t="s">
        <v>130</v>
      </c>
      <c r="C9" s="3"/>
    </row>
    <row r="10" spans="1:3" ht="20.100000000000001" customHeight="1" x14ac:dyDescent="0.3">
      <c r="A10" s="98" t="s">
        <v>131</v>
      </c>
      <c r="B10" s="99" t="s">
        <v>132</v>
      </c>
      <c r="C10" s="3"/>
    </row>
    <row r="11" spans="1:3" ht="20.100000000000001" customHeight="1" x14ac:dyDescent="0.3">
      <c r="A11" s="98" t="s">
        <v>133</v>
      </c>
      <c r="B11" s="99" t="s">
        <v>134</v>
      </c>
      <c r="C11" s="3"/>
    </row>
    <row r="12" spans="1:3" ht="20.100000000000001" customHeight="1" x14ac:dyDescent="0.3">
      <c r="A12" s="98" t="s">
        <v>135</v>
      </c>
      <c r="B12" s="99" t="s">
        <v>136</v>
      </c>
      <c r="C12" s="3"/>
    </row>
    <row r="13" spans="1:3" ht="20.100000000000001" customHeight="1" x14ac:dyDescent="0.3">
      <c r="A13" s="98" t="s">
        <v>137</v>
      </c>
      <c r="B13" s="99" t="s">
        <v>138</v>
      </c>
      <c r="C13" s="3"/>
    </row>
    <row r="14" spans="1:3" ht="20.100000000000001" customHeight="1" x14ac:dyDescent="0.3">
      <c r="A14" s="98" t="s">
        <v>139</v>
      </c>
      <c r="B14" s="99" t="s">
        <v>148</v>
      </c>
      <c r="C14" s="3"/>
    </row>
    <row r="15" spans="1:3" ht="36.75" customHeight="1" x14ac:dyDescent="0.3">
      <c r="A15" s="100" t="s">
        <v>140</v>
      </c>
      <c r="B15" s="101" t="s">
        <v>141</v>
      </c>
      <c r="C15" s="3"/>
    </row>
    <row r="16" spans="1:3" ht="20.100000000000001" customHeight="1" x14ac:dyDescent="0.3">
      <c r="A16" s="98" t="s">
        <v>142</v>
      </c>
      <c r="B16" s="99" t="s">
        <v>149</v>
      </c>
      <c r="C16" s="3"/>
    </row>
    <row r="17" spans="1:3" ht="20.100000000000001" customHeight="1" x14ac:dyDescent="0.3">
      <c r="A17" s="98"/>
      <c r="B17" s="99"/>
      <c r="C17" s="3"/>
    </row>
    <row r="18" spans="1:3" ht="20.100000000000001" customHeight="1" x14ac:dyDescent="0.3">
      <c r="A18" s="98" t="s">
        <v>143</v>
      </c>
      <c r="B18" s="99" t="s">
        <v>147</v>
      </c>
      <c r="C18" s="3"/>
    </row>
    <row r="19" spans="1:3" ht="20.100000000000001" customHeight="1" x14ac:dyDescent="0.3">
      <c r="A19" s="102" t="s">
        <v>144</v>
      </c>
      <c r="B19" s="103">
        <f>+'7. depreciation'!H57+'7. depreciation'!H59</f>
        <v>12058076.25</v>
      </c>
      <c r="C19" s="3"/>
    </row>
    <row r="20" spans="1:3" ht="20.100000000000001" customHeight="1" x14ac:dyDescent="0.3">
      <c r="A20" s="3"/>
      <c r="B20" s="3"/>
      <c r="C20" s="3"/>
    </row>
  </sheetData>
  <mergeCells count="3">
    <mergeCell ref="A3:B3"/>
    <mergeCell ref="A4:B4"/>
    <mergeCell ref="A6:B6"/>
  </mergeCells>
  <printOptions horizontalCentered="1" verticalCentered="1"/>
  <pageMargins left="0.70866141732283472" right="0.70866141732283472" top="0.74803149606299213" bottom="0.74803149606299213" header="0.31496062992125984" footer="0.31496062992125984"/>
  <pageSetup scale="13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H90"/>
  <sheetViews>
    <sheetView tabSelected="1" topLeftCell="A58" zoomScale="115" zoomScaleNormal="115" workbookViewId="0">
      <selection activeCell="G86" sqref="G86"/>
    </sheetView>
  </sheetViews>
  <sheetFormatPr defaultColWidth="9.109375" defaultRowHeight="13.2" x14ac:dyDescent="0.25"/>
  <cols>
    <col min="1" max="1" width="6.44140625" style="84" bestFit="1" customWidth="1"/>
    <col min="2" max="2" width="33.33203125" style="161" customWidth="1"/>
    <col min="3" max="3" width="12.88671875" style="84" bestFit="1" customWidth="1"/>
    <col min="4" max="4" width="16.33203125" style="84" customWidth="1"/>
    <col min="5" max="5" width="15.5546875" style="84" bestFit="1" customWidth="1"/>
    <col min="6" max="6" width="12.88671875" style="84" bestFit="1" customWidth="1"/>
    <col min="7" max="16384" width="9.109375" style="84"/>
  </cols>
  <sheetData>
    <row r="3" spans="1:6" x14ac:dyDescent="0.25">
      <c r="B3" s="163" t="s">
        <v>447</v>
      </c>
      <c r="C3" s="108"/>
      <c r="D3" s="108"/>
    </row>
    <row r="5" spans="1:6" x14ac:dyDescent="0.25">
      <c r="B5" s="182" t="s">
        <v>251</v>
      </c>
      <c r="C5" s="112" t="s">
        <v>474</v>
      </c>
      <c r="D5" s="112" t="s">
        <v>473</v>
      </c>
      <c r="E5" s="173" t="s">
        <v>2</v>
      </c>
      <c r="F5" s="112" t="s">
        <v>389</v>
      </c>
    </row>
    <row r="6" spans="1:6" ht="27" x14ac:dyDescent="0.3">
      <c r="A6" s="84">
        <v>1</v>
      </c>
      <c r="B6" s="188" t="s">
        <v>544</v>
      </c>
      <c r="C6" s="110">
        <v>4000</v>
      </c>
      <c r="D6" s="110">
        <v>400</v>
      </c>
      <c r="E6" s="195">
        <f>C6*D6</f>
        <v>1600000</v>
      </c>
      <c r="F6" s="604">
        <f>E6*60%</f>
        <v>960000</v>
      </c>
    </row>
    <row r="7" spans="1:6" ht="27.6" x14ac:dyDescent="0.3">
      <c r="A7" s="84">
        <v>2</v>
      </c>
      <c r="B7" s="188" t="s">
        <v>485</v>
      </c>
      <c r="C7" s="110">
        <v>4000</v>
      </c>
      <c r="D7" s="110">
        <v>375</v>
      </c>
      <c r="E7" s="195">
        <f t="shared" ref="E7:E53" si="0">C7*D7</f>
        <v>1500000</v>
      </c>
      <c r="F7" s="196">
        <f t="shared" ref="F7:F54" si="1">E7*60%</f>
        <v>900000</v>
      </c>
    </row>
    <row r="8" spans="1:6" ht="13.8" x14ac:dyDescent="0.3">
      <c r="A8" s="84">
        <v>3</v>
      </c>
      <c r="B8" s="188" t="s">
        <v>486</v>
      </c>
      <c r="C8" s="110">
        <v>400</v>
      </c>
      <c r="D8" s="110">
        <v>375</v>
      </c>
      <c r="E8" s="195">
        <f t="shared" si="0"/>
        <v>150000</v>
      </c>
      <c r="F8" s="196">
        <f t="shared" si="1"/>
        <v>90000</v>
      </c>
    </row>
    <row r="9" spans="1:6" ht="13.8" x14ac:dyDescent="0.3">
      <c r="A9" s="84">
        <v>4</v>
      </c>
      <c r="B9" s="188" t="s">
        <v>487</v>
      </c>
      <c r="C9" s="110">
        <v>225</v>
      </c>
      <c r="D9" s="110">
        <v>1045</v>
      </c>
      <c r="E9" s="195">
        <f t="shared" si="0"/>
        <v>235125</v>
      </c>
      <c r="F9" s="196">
        <f t="shared" si="1"/>
        <v>141075</v>
      </c>
    </row>
    <row r="10" spans="1:6" ht="24.75" customHeight="1" x14ac:dyDescent="0.3">
      <c r="A10" s="84">
        <v>5</v>
      </c>
      <c r="B10" s="188" t="s">
        <v>236</v>
      </c>
      <c r="C10" s="188">
        <v>500</v>
      </c>
      <c r="D10" s="188">
        <v>804.73</v>
      </c>
      <c r="E10" s="195">
        <f t="shared" si="0"/>
        <v>402365</v>
      </c>
      <c r="F10" s="196">
        <f t="shared" si="1"/>
        <v>241419</v>
      </c>
    </row>
    <row r="11" spans="1:6" ht="27" x14ac:dyDescent="0.3">
      <c r="A11" s="84">
        <v>6</v>
      </c>
      <c r="B11" s="188" t="s">
        <v>488</v>
      </c>
      <c r="C11" s="110">
        <v>1000</v>
      </c>
      <c r="D11" s="110">
        <v>625.65</v>
      </c>
      <c r="E11" s="195">
        <f t="shared" si="0"/>
        <v>625650</v>
      </c>
      <c r="F11" s="196">
        <f t="shared" si="1"/>
        <v>375390</v>
      </c>
    </row>
    <row r="12" spans="1:6" ht="13.8" x14ac:dyDescent="0.3">
      <c r="A12" s="84">
        <v>7</v>
      </c>
      <c r="B12" s="188" t="s">
        <v>545</v>
      </c>
      <c r="C12" s="110">
        <v>50</v>
      </c>
      <c r="D12" s="110">
        <v>1045</v>
      </c>
      <c r="E12" s="195">
        <f t="shared" si="0"/>
        <v>52250</v>
      </c>
      <c r="F12" s="196">
        <f t="shared" si="1"/>
        <v>31350</v>
      </c>
    </row>
    <row r="13" spans="1:6" ht="13.8" x14ac:dyDescent="0.3">
      <c r="A13" s="84">
        <v>8</v>
      </c>
      <c r="B13" s="188" t="s">
        <v>557</v>
      </c>
      <c r="C13" s="110">
        <v>3000</v>
      </c>
      <c r="D13" s="110">
        <v>1045</v>
      </c>
      <c r="E13" s="195">
        <f t="shared" si="0"/>
        <v>3135000</v>
      </c>
      <c r="F13" s="196">
        <f>E13*60%</f>
        <v>1881000</v>
      </c>
    </row>
    <row r="14" spans="1:6" ht="13.8" x14ac:dyDescent="0.3">
      <c r="A14" s="84">
        <v>9</v>
      </c>
      <c r="B14" s="188" t="s">
        <v>472</v>
      </c>
      <c r="C14" s="110">
        <v>240</v>
      </c>
      <c r="D14" s="110">
        <v>1045</v>
      </c>
      <c r="E14" s="195">
        <f t="shared" si="0"/>
        <v>250800</v>
      </c>
      <c r="F14" s="196">
        <f t="shared" si="1"/>
        <v>150480</v>
      </c>
    </row>
    <row r="15" spans="1:6" ht="13.8" x14ac:dyDescent="0.3">
      <c r="A15" s="84">
        <v>10</v>
      </c>
      <c r="B15" s="189" t="s">
        <v>237</v>
      </c>
      <c r="C15" s="197">
        <v>25</v>
      </c>
      <c r="D15" s="197">
        <v>511.17</v>
      </c>
      <c r="E15" s="198">
        <f t="shared" si="0"/>
        <v>12779.25</v>
      </c>
      <c r="F15" s="196">
        <f t="shared" si="1"/>
        <v>7667.5499999999993</v>
      </c>
    </row>
    <row r="16" spans="1:6" ht="13.8" x14ac:dyDescent="0.3">
      <c r="A16" s="84">
        <v>11</v>
      </c>
      <c r="B16" s="189" t="s">
        <v>238</v>
      </c>
      <c r="C16" s="197">
        <v>100</v>
      </c>
      <c r="D16" s="197">
        <v>238.17</v>
      </c>
      <c r="E16" s="198">
        <f t="shared" si="0"/>
        <v>23817</v>
      </c>
      <c r="F16" s="196">
        <f t="shared" si="1"/>
        <v>14290.199999999999</v>
      </c>
    </row>
    <row r="17" spans="1:8" ht="13.8" x14ac:dyDescent="0.3">
      <c r="A17" s="84">
        <v>12</v>
      </c>
      <c r="B17" s="189" t="s">
        <v>489</v>
      </c>
      <c r="C17" s="197">
        <v>2</v>
      </c>
      <c r="D17" s="197">
        <v>3250</v>
      </c>
      <c r="E17" s="198">
        <f t="shared" si="0"/>
        <v>6500</v>
      </c>
      <c r="F17" s="196">
        <f t="shared" si="1"/>
        <v>3900</v>
      </c>
    </row>
    <row r="18" spans="1:8" ht="13.8" x14ac:dyDescent="0.3">
      <c r="A18" s="84">
        <v>13</v>
      </c>
      <c r="B18" s="189" t="s">
        <v>490</v>
      </c>
      <c r="C18" s="197">
        <v>6</v>
      </c>
      <c r="D18" s="197">
        <v>3250</v>
      </c>
      <c r="E18" s="198">
        <f t="shared" si="0"/>
        <v>19500</v>
      </c>
      <c r="F18" s="196">
        <f t="shared" si="1"/>
        <v>11700</v>
      </c>
    </row>
    <row r="19" spans="1:8" ht="13.8" x14ac:dyDescent="0.3">
      <c r="A19" s="84">
        <v>14</v>
      </c>
      <c r="B19" s="189" t="s">
        <v>491</v>
      </c>
      <c r="C19" s="197">
        <v>2</v>
      </c>
      <c r="D19" s="197">
        <v>2300</v>
      </c>
      <c r="E19" s="198">
        <f t="shared" si="0"/>
        <v>4600</v>
      </c>
      <c r="F19" s="196">
        <f t="shared" si="1"/>
        <v>2760</v>
      </c>
    </row>
    <row r="20" spans="1:8" ht="13.8" x14ac:dyDescent="0.3">
      <c r="A20" s="84">
        <v>15</v>
      </c>
      <c r="B20" s="189" t="s">
        <v>173</v>
      </c>
      <c r="C20" s="197">
        <v>1</v>
      </c>
      <c r="D20" s="197">
        <v>450000</v>
      </c>
      <c r="E20" s="198">
        <f t="shared" si="0"/>
        <v>450000</v>
      </c>
      <c r="F20" s="196">
        <f t="shared" si="1"/>
        <v>270000</v>
      </c>
    </row>
    <row r="21" spans="1:8" ht="13.8" x14ac:dyDescent="0.3">
      <c r="A21" s="84">
        <v>16</v>
      </c>
      <c r="B21" s="189" t="s">
        <v>239</v>
      </c>
      <c r="C21" s="197">
        <v>2</v>
      </c>
      <c r="D21" s="197">
        <v>38000</v>
      </c>
      <c r="E21" s="198">
        <f t="shared" si="0"/>
        <v>76000</v>
      </c>
      <c r="F21" s="196">
        <f t="shared" si="1"/>
        <v>45600</v>
      </c>
    </row>
    <row r="22" spans="1:8" ht="13.8" x14ac:dyDescent="0.3">
      <c r="A22" s="84">
        <v>17</v>
      </c>
      <c r="B22" s="189" t="s">
        <v>302</v>
      </c>
      <c r="C22" s="197">
        <v>1</v>
      </c>
      <c r="D22" s="197">
        <v>400000</v>
      </c>
      <c r="E22" s="198">
        <f t="shared" si="0"/>
        <v>400000</v>
      </c>
      <c r="F22" s="196">
        <f t="shared" si="1"/>
        <v>240000</v>
      </c>
    </row>
    <row r="23" spans="1:8" ht="13.8" x14ac:dyDescent="0.3">
      <c r="A23" s="84">
        <v>18</v>
      </c>
      <c r="B23" s="189" t="s">
        <v>240</v>
      </c>
      <c r="C23" s="197">
        <v>1</v>
      </c>
      <c r="D23" s="197">
        <v>200000</v>
      </c>
      <c r="E23" s="198">
        <f t="shared" si="0"/>
        <v>200000</v>
      </c>
      <c r="F23" s="196">
        <f t="shared" si="1"/>
        <v>120000</v>
      </c>
    </row>
    <row r="24" spans="1:8" ht="13.8" x14ac:dyDescent="0.3">
      <c r="A24" s="84">
        <v>19</v>
      </c>
      <c r="B24" s="189" t="s">
        <v>241</v>
      </c>
      <c r="C24" s="197">
        <v>1</v>
      </c>
      <c r="D24" s="197">
        <v>150000</v>
      </c>
      <c r="E24" s="198">
        <f t="shared" si="0"/>
        <v>150000</v>
      </c>
      <c r="F24" s="196">
        <f t="shared" si="1"/>
        <v>90000</v>
      </c>
    </row>
    <row r="25" spans="1:8" ht="27" x14ac:dyDescent="0.3">
      <c r="A25" s="84">
        <v>20</v>
      </c>
      <c r="B25" s="189" t="s">
        <v>242</v>
      </c>
      <c r="C25" s="197">
        <v>1</v>
      </c>
      <c r="D25" s="197">
        <v>25000</v>
      </c>
      <c r="E25" s="198">
        <f t="shared" si="0"/>
        <v>25000</v>
      </c>
      <c r="F25" s="196">
        <f t="shared" si="1"/>
        <v>15000</v>
      </c>
    </row>
    <row r="26" spans="1:8" ht="13.8" x14ac:dyDescent="0.3">
      <c r="A26" s="84">
        <v>21</v>
      </c>
      <c r="B26" s="189" t="s">
        <v>244</v>
      </c>
      <c r="C26" s="197">
        <v>2</v>
      </c>
      <c r="D26" s="197">
        <v>30700</v>
      </c>
      <c r="E26" s="198">
        <f t="shared" si="0"/>
        <v>61400</v>
      </c>
      <c r="F26" s="196">
        <f t="shared" si="1"/>
        <v>36840</v>
      </c>
      <c r="H26" s="181"/>
    </row>
    <row r="27" spans="1:8" ht="13.8" x14ac:dyDescent="0.3">
      <c r="A27" s="84">
        <v>22</v>
      </c>
      <c r="B27" s="189" t="s">
        <v>245</v>
      </c>
      <c r="C27" s="197">
        <v>2</v>
      </c>
      <c r="D27" s="197">
        <v>350000</v>
      </c>
      <c r="E27" s="198">
        <f>D27*C27</f>
        <v>700000</v>
      </c>
      <c r="F27" s="196">
        <f t="shared" si="1"/>
        <v>420000</v>
      </c>
    </row>
    <row r="28" spans="1:8" ht="13.8" x14ac:dyDescent="0.3">
      <c r="A28" s="84">
        <v>23</v>
      </c>
      <c r="B28" s="189" t="s">
        <v>246</v>
      </c>
      <c r="C28" s="197">
        <v>1</v>
      </c>
      <c r="D28" s="197">
        <v>168000</v>
      </c>
      <c r="E28" s="198">
        <f t="shared" si="0"/>
        <v>168000</v>
      </c>
      <c r="F28" s="196">
        <f t="shared" si="1"/>
        <v>100800</v>
      </c>
    </row>
    <row r="29" spans="1:8" ht="13.8" x14ac:dyDescent="0.3">
      <c r="A29" s="84">
        <v>24</v>
      </c>
      <c r="B29" s="189" t="s">
        <v>546</v>
      </c>
      <c r="C29" s="197">
        <v>20</v>
      </c>
      <c r="D29" s="197">
        <v>150</v>
      </c>
      <c r="E29" s="198">
        <f t="shared" si="0"/>
        <v>3000</v>
      </c>
      <c r="F29" s="196">
        <f t="shared" si="1"/>
        <v>1800</v>
      </c>
    </row>
    <row r="30" spans="1:8" ht="13.8" x14ac:dyDescent="0.3">
      <c r="A30" s="84">
        <v>25</v>
      </c>
      <c r="B30" s="189" t="s">
        <v>547</v>
      </c>
      <c r="C30" s="197">
        <v>20</v>
      </c>
      <c r="D30" s="197">
        <v>100</v>
      </c>
      <c r="E30" s="198">
        <f t="shared" si="0"/>
        <v>2000</v>
      </c>
      <c r="F30" s="196">
        <f t="shared" si="1"/>
        <v>1200</v>
      </c>
    </row>
    <row r="31" spans="1:8" ht="13.8" x14ac:dyDescent="0.3">
      <c r="A31" s="84">
        <v>26</v>
      </c>
      <c r="B31" s="189" t="s">
        <v>548</v>
      </c>
      <c r="C31" s="197">
        <v>22</v>
      </c>
      <c r="D31" s="197">
        <v>270</v>
      </c>
      <c r="E31" s="198">
        <f t="shared" si="0"/>
        <v>5940</v>
      </c>
      <c r="F31" s="196">
        <f t="shared" si="1"/>
        <v>3564</v>
      </c>
    </row>
    <row r="32" spans="1:8" ht="13.8" x14ac:dyDescent="0.3">
      <c r="A32" s="84">
        <v>27</v>
      </c>
      <c r="B32" s="189" t="s">
        <v>549</v>
      </c>
      <c r="C32" s="197">
        <v>22</v>
      </c>
      <c r="D32" s="197">
        <v>295</v>
      </c>
      <c r="E32" s="198">
        <f t="shared" si="0"/>
        <v>6490</v>
      </c>
      <c r="F32" s="196">
        <f t="shared" si="1"/>
        <v>3894</v>
      </c>
    </row>
    <row r="33" spans="1:6" ht="13.8" x14ac:dyDescent="0.3">
      <c r="A33" s="84">
        <v>28</v>
      </c>
      <c r="B33" s="189" t="s">
        <v>171</v>
      </c>
      <c r="C33" s="197">
        <v>160</v>
      </c>
      <c r="D33" s="197">
        <v>150</v>
      </c>
      <c r="E33" s="198">
        <f t="shared" si="0"/>
        <v>24000</v>
      </c>
      <c r="F33" s="196">
        <f t="shared" si="1"/>
        <v>14400</v>
      </c>
    </row>
    <row r="34" spans="1:6" ht="13.8" x14ac:dyDescent="0.3">
      <c r="A34" s="84">
        <v>29</v>
      </c>
      <c r="B34" s="189" t="s">
        <v>172</v>
      </c>
      <c r="C34" s="197">
        <v>160</v>
      </c>
      <c r="D34" s="197">
        <v>100</v>
      </c>
      <c r="E34" s="198">
        <f t="shared" si="0"/>
        <v>16000</v>
      </c>
      <c r="F34" s="196">
        <f t="shared" si="1"/>
        <v>9600</v>
      </c>
    </row>
    <row r="35" spans="1:6" ht="13.8" x14ac:dyDescent="0.3">
      <c r="A35" s="84">
        <v>30</v>
      </c>
      <c r="B35" s="189" t="s">
        <v>478</v>
      </c>
      <c r="C35" s="197">
        <v>50</v>
      </c>
      <c r="D35" s="197">
        <v>55</v>
      </c>
      <c r="E35" s="198">
        <f t="shared" si="0"/>
        <v>2750</v>
      </c>
      <c r="F35" s="196">
        <f t="shared" si="1"/>
        <v>1650</v>
      </c>
    </row>
    <row r="36" spans="1:6" ht="13.8" x14ac:dyDescent="0.3">
      <c r="A36" s="84">
        <v>31</v>
      </c>
      <c r="B36" s="189" t="s">
        <v>479</v>
      </c>
      <c r="C36" s="197">
        <v>500</v>
      </c>
      <c r="D36" s="197">
        <v>35</v>
      </c>
      <c r="E36" s="198">
        <f t="shared" si="0"/>
        <v>17500</v>
      </c>
      <c r="F36" s="196">
        <f t="shared" si="1"/>
        <v>10500</v>
      </c>
    </row>
    <row r="37" spans="1:6" ht="27" x14ac:dyDescent="0.3">
      <c r="A37" s="84">
        <v>32</v>
      </c>
      <c r="B37" s="189" t="s">
        <v>480</v>
      </c>
      <c r="C37" s="197">
        <v>10</v>
      </c>
      <c r="D37" s="197">
        <v>1275</v>
      </c>
      <c r="E37" s="198">
        <f t="shared" si="0"/>
        <v>12750</v>
      </c>
      <c r="F37" s="196">
        <f t="shared" si="1"/>
        <v>7650</v>
      </c>
    </row>
    <row r="38" spans="1:6" ht="27" x14ac:dyDescent="0.3">
      <c r="A38" s="84">
        <v>33</v>
      </c>
      <c r="B38" s="189" t="s">
        <v>481</v>
      </c>
      <c r="C38" s="197">
        <v>10</v>
      </c>
      <c r="D38" s="197">
        <v>950</v>
      </c>
      <c r="E38" s="198">
        <f t="shared" si="0"/>
        <v>9500</v>
      </c>
      <c r="F38" s="196">
        <f t="shared" si="1"/>
        <v>5700</v>
      </c>
    </row>
    <row r="39" spans="1:6" ht="13.8" x14ac:dyDescent="0.3">
      <c r="A39" s="84">
        <v>34</v>
      </c>
      <c r="B39" s="189" t="s">
        <v>482</v>
      </c>
      <c r="C39" s="197">
        <v>2</v>
      </c>
      <c r="D39" s="197">
        <v>590</v>
      </c>
      <c r="E39" s="198">
        <f t="shared" si="0"/>
        <v>1180</v>
      </c>
      <c r="F39" s="196">
        <f t="shared" si="1"/>
        <v>708</v>
      </c>
    </row>
    <row r="40" spans="1:6" ht="13.8" x14ac:dyDescent="0.3">
      <c r="A40" s="84">
        <v>35</v>
      </c>
      <c r="B40" s="189" t="s">
        <v>483</v>
      </c>
      <c r="C40" s="197">
        <v>2</v>
      </c>
      <c r="D40" s="197">
        <v>4100</v>
      </c>
      <c r="E40" s="198">
        <f t="shared" si="0"/>
        <v>8200</v>
      </c>
      <c r="F40" s="196">
        <f t="shared" si="1"/>
        <v>4920</v>
      </c>
    </row>
    <row r="41" spans="1:6" ht="13.8" x14ac:dyDescent="0.3">
      <c r="A41" s="84">
        <v>36</v>
      </c>
      <c r="B41" s="189" t="s">
        <v>484</v>
      </c>
      <c r="C41" s="197">
        <v>10</v>
      </c>
      <c r="D41" s="197">
        <v>11000</v>
      </c>
      <c r="E41" s="198">
        <f t="shared" si="0"/>
        <v>110000</v>
      </c>
      <c r="F41" s="196">
        <f t="shared" si="1"/>
        <v>66000</v>
      </c>
    </row>
    <row r="42" spans="1:6" ht="13.8" x14ac:dyDescent="0.3">
      <c r="A42" s="84">
        <v>37</v>
      </c>
      <c r="B42" s="189" t="s">
        <v>514</v>
      </c>
      <c r="C42" s="197">
        <v>100</v>
      </c>
      <c r="D42" s="197">
        <v>1250</v>
      </c>
      <c r="E42" s="198">
        <f t="shared" si="0"/>
        <v>125000</v>
      </c>
      <c r="F42" s="196">
        <f t="shared" si="1"/>
        <v>75000</v>
      </c>
    </row>
    <row r="43" spans="1:6" ht="13.8" x14ac:dyDescent="0.3">
      <c r="A43" s="84">
        <v>38</v>
      </c>
      <c r="B43" s="189" t="s">
        <v>475</v>
      </c>
      <c r="C43" s="197">
        <v>10</v>
      </c>
      <c r="D43" s="197">
        <v>720</v>
      </c>
      <c r="E43" s="198">
        <f t="shared" si="0"/>
        <v>7200</v>
      </c>
      <c r="F43" s="196">
        <f t="shared" si="1"/>
        <v>4320</v>
      </c>
    </row>
    <row r="44" spans="1:6" ht="13.8" x14ac:dyDescent="0.3">
      <c r="A44" s="84">
        <v>39</v>
      </c>
      <c r="B44" s="189" t="s">
        <v>476</v>
      </c>
      <c r="C44" s="197">
        <v>60</v>
      </c>
      <c r="D44" s="197">
        <v>38</v>
      </c>
      <c r="E44" s="198">
        <f t="shared" si="0"/>
        <v>2280</v>
      </c>
      <c r="F44" s="196">
        <f t="shared" si="1"/>
        <v>1368</v>
      </c>
    </row>
    <row r="45" spans="1:6" ht="13.8" x14ac:dyDescent="0.3">
      <c r="A45" s="84">
        <v>40</v>
      </c>
      <c r="B45" s="189" t="s">
        <v>248</v>
      </c>
      <c r="C45" s="197">
        <v>5000</v>
      </c>
      <c r="D45" s="197">
        <v>40</v>
      </c>
      <c r="E45" s="198">
        <f t="shared" si="0"/>
        <v>200000</v>
      </c>
      <c r="F45" s="196">
        <f t="shared" si="1"/>
        <v>120000</v>
      </c>
    </row>
    <row r="46" spans="1:6" ht="27" x14ac:dyDescent="0.3">
      <c r="A46" s="84">
        <v>41</v>
      </c>
      <c r="B46" s="189" t="s">
        <v>477</v>
      </c>
      <c r="C46" s="197">
        <v>50</v>
      </c>
      <c r="D46" s="197">
        <v>360</v>
      </c>
      <c r="E46" s="198">
        <f t="shared" si="0"/>
        <v>18000</v>
      </c>
      <c r="F46" s="196">
        <f t="shared" si="1"/>
        <v>10800</v>
      </c>
    </row>
    <row r="47" spans="1:6" ht="13.8" x14ac:dyDescent="0.3">
      <c r="A47" s="84">
        <v>42</v>
      </c>
      <c r="B47" s="189" t="s">
        <v>249</v>
      </c>
      <c r="C47" s="197">
        <v>20000</v>
      </c>
      <c r="D47" s="197">
        <v>2</v>
      </c>
      <c r="E47" s="198">
        <f t="shared" si="0"/>
        <v>40000</v>
      </c>
      <c r="F47" s="196">
        <f t="shared" si="1"/>
        <v>24000</v>
      </c>
    </row>
    <row r="48" spans="1:6" ht="40.200000000000003" x14ac:dyDescent="0.3">
      <c r="A48" s="84">
        <v>43</v>
      </c>
      <c r="B48" s="189" t="s">
        <v>250</v>
      </c>
      <c r="C48" s="189">
        <v>2500</v>
      </c>
      <c r="D48" s="189">
        <v>16</v>
      </c>
      <c r="E48" s="198">
        <f t="shared" si="0"/>
        <v>40000</v>
      </c>
      <c r="F48" s="196">
        <f t="shared" si="1"/>
        <v>24000</v>
      </c>
    </row>
    <row r="49" spans="1:6" ht="13.8" x14ac:dyDescent="0.3">
      <c r="A49" s="84">
        <v>44</v>
      </c>
      <c r="B49" s="199" t="s">
        <v>243</v>
      </c>
      <c r="C49" s="110">
        <v>1</v>
      </c>
      <c r="D49" s="110">
        <v>54500</v>
      </c>
      <c r="E49" s="195">
        <f t="shared" si="0"/>
        <v>54500</v>
      </c>
      <c r="F49" s="196">
        <f t="shared" si="1"/>
        <v>32700</v>
      </c>
    </row>
    <row r="50" spans="1:6" ht="13.8" x14ac:dyDescent="0.3">
      <c r="A50" s="84">
        <v>45</v>
      </c>
      <c r="B50" s="199" t="s">
        <v>247</v>
      </c>
      <c r="C50" s="110">
        <v>1</v>
      </c>
      <c r="D50" s="110">
        <v>125000</v>
      </c>
      <c r="E50" s="195">
        <f t="shared" si="0"/>
        <v>125000</v>
      </c>
      <c r="F50" s="196">
        <f t="shared" si="1"/>
        <v>75000</v>
      </c>
    </row>
    <row r="51" spans="1:6" ht="13.8" x14ac:dyDescent="0.3">
      <c r="A51" s="84">
        <v>46</v>
      </c>
      <c r="B51" s="199" t="s">
        <v>558</v>
      </c>
      <c r="C51" s="110">
        <v>1</v>
      </c>
      <c r="D51" s="110">
        <v>968000</v>
      </c>
      <c r="E51" s="195">
        <f t="shared" si="0"/>
        <v>968000</v>
      </c>
      <c r="F51" s="196">
        <f t="shared" si="1"/>
        <v>580800</v>
      </c>
    </row>
    <row r="52" spans="1:6" ht="13.8" x14ac:dyDescent="0.3">
      <c r="A52" s="84">
        <v>47</v>
      </c>
      <c r="B52" s="188" t="s">
        <v>559</v>
      </c>
      <c r="C52" s="110">
        <v>1</v>
      </c>
      <c r="D52" s="110">
        <v>50000</v>
      </c>
      <c r="E52" s="195">
        <f t="shared" si="0"/>
        <v>50000</v>
      </c>
      <c r="F52" s="196">
        <f t="shared" si="1"/>
        <v>30000</v>
      </c>
    </row>
    <row r="53" spans="1:6" ht="13.8" x14ac:dyDescent="0.3">
      <c r="A53" s="84">
        <v>48</v>
      </c>
      <c r="B53" s="199" t="s">
        <v>252</v>
      </c>
      <c r="C53" s="110">
        <v>1</v>
      </c>
      <c r="D53" s="110">
        <f>'9. Expenses'!C73</f>
        <v>120000</v>
      </c>
      <c r="E53" s="195">
        <f t="shared" si="0"/>
        <v>120000</v>
      </c>
      <c r="F53" s="196">
        <f t="shared" si="1"/>
        <v>72000</v>
      </c>
    </row>
    <row r="54" spans="1:6" ht="13.8" x14ac:dyDescent="0.3">
      <c r="B54" s="183" t="s">
        <v>1</v>
      </c>
      <c r="C54" s="173"/>
      <c r="D54" s="173"/>
      <c r="E54" s="174">
        <f>SUM(E6:E53)</f>
        <v>12218076.25</v>
      </c>
      <c r="F54" s="200">
        <f t="shared" si="1"/>
        <v>7330845.75</v>
      </c>
    </row>
    <row r="55" spans="1:6" x14ac:dyDescent="0.25">
      <c r="F55" s="201"/>
    </row>
    <row r="57" spans="1:6" x14ac:dyDescent="0.25">
      <c r="B57" s="184" t="s">
        <v>390</v>
      </c>
      <c r="C57" s="113"/>
      <c r="D57" s="113"/>
    </row>
    <row r="59" spans="1:6" x14ac:dyDescent="0.25">
      <c r="B59" s="183" t="s">
        <v>0</v>
      </c>
      <c r="C59" s="173" t="s">
        <v>2</v>
      </c>
      <c r="D59" s="164">
        <v>0.6</v>
      </c>
      <c r="F59" s="164"/>
    </row>
    <row r="60" spans="1:6" ht="13.8" x14ac:dyDescent="0.25">
      <c r="B60" s="129" t="s">
        <v>339</v>
      </c>
      <c r="C60" s="130">
        <f>SUM(E6:E14)</f>
        <v>7951190</v>
      </c>
      <c r="D60" s="201">
        <f>C60*D59</f>
        <v>4770714</v>
      </c>
      <c r="E60" s="164"/>
    </row>
    <row r="61" spans="1:6" ht="13.8" x14ac:dyDescent="0.25">
      <c r="B61" s="131" t="s">
        <v>493</v>
      </c>
      <c r="C61" s="132">
        <f>SUM(E15:E48)</f>
        <v>2949386.25</v>
      </c>
      <c r="D61" s="201">
        <f>C61*D59</f>
        <v>1769631.75</v>
      </c>
      <c r="E61" s="164"/>
    </row>
    <row r="62" spans="1:6" ht="13.8" x14ac:dyDescent="0.25">
      <c r="B62" s="131" t="s">
        <v>343</v>
      </c>
      <c r="C62" s="130">
        <f>SUM(E50)</f>
        <v>125000</v>
      </c>
      <c r="D62" s="201">
        <f>C62*D59</f>
        <v>75000</v>
      </c>
      <c r="E62" s="164"/>
    </row>
    <row r="63" spans="1:6" ht="13.8" x14ac:dyDescent="0.25">
      <c r="B63" s="131" t="s">
        <v>345</v>
      </c>
      <c r="C63" s="130">
        <f>SUM(E49)</f>
        <v>54500</v>
      </c>
      <c r="D63" s="201">
        <f>C63*D59</f>
        <v>32700</v>
      </c>
      <c r="E63" s="164"/>
    </row>
    <row r="64" spans="1:6" ht="13.8" x14ac:dyDescent="0.25">
      <c r="B64" s="131" t="s">
        <v>560</v>
      </c>
      <c r="C64" s="130">
        <f>SUM(E51:E52)</f>
        <v>1018000</v>
      </c>
      <c r="D64" s="201">
        <f>C64*D59</f>
        <v>610800</v>
      </c>
      <c r="E64" s="164"/>
    </row>
    <row r="65" spans="1:8" ht="13.8" x14ac:dyDescent="0.25">
      <c r="B65" s="131" t="s">
        <v>347</v>
      </c>
      <c r="C65" s="130">
        <f>E53</f>
        <v>120000</v>
      </c>
      <c r="D65" s="201">
        <f>C65*D59</f>
        <v>72000</v>
      </c>
      <c r="E65" s="164"/>
    </row>
    <row r="66" spans="1:8" ht="13.8" x14ac:dyDescent="0.25">
      <c r="B66" s="133" t="s">
        <v>1</v>
      </c>
      <c r="C66" s="134">
        <f>SUM(C60:C65)</f>
        <v>12218076.25</v>
      </c>
      <c r="D66" s="134">
        <f>SUM(D60:D65)</f>
        <v>7330845.75</v>
      </c>
      <c r="G66" s="164"/>
    </row>
    <row r="70" spans="1:8" x14ac:dyDescent="0.25">
      <c r="B70" s="185" t="s">
        <v>450</v>
      </c>
    </row>
    <row r="72" spans="1:8" ht="26.4" x14ac:dyDescent="0.25">
      <c r="A72" s="178" t="s">
        <v>100</v>
      </c>
      <c r="B72" s="179" t="s">
        <v>448</v>
      </c>
      <c r="C72" s="179" t="s">
        <v>305</v>
      </c>
    </row>
    <row r="73" spans="1:8" x14ac:dyDescent="0.25">
      <c r="A73" s="170">
        <v>1</v>
      </c>
      <c r="B73" s="171" t="s">
        <v>449</v>
      </c>
      <c r="C73" s="172">
        <f>C76*60%</f>
        <v>7330845.75</v>
      </c>
      <c r="D73" s="164">
        <v>0.6</v>
      </c>
    </row>
    <row r="74" spans="1:8" x14ac:dyDescent="0.25">
      <c r="A74" s="170">
        <v>2</v>
      </c>
      <c r="B74" s="171" t="s">
        <v>174</v>
      </c>
      <c r="C74" s="172">
        <f>C76*10%</f>
        <v>1221807.625</v>
      </c>
      <c r="D74" s="164">
        <v>0.1</v>
      </c>
    </row>
    <row r="75" spans="1:8" x14ac:dyDescent="0.25">
      <c r="A75" s="605">
        <v>3</v>
      </c>
      <c r="B75" s="606" t="s">
        <v>574</v>
      </c>
      <c r="C75" s="172">
        <f>C66*30%</f>
        <v>3665422.875</v>
      </c>
      <c r="D75" s="164">
        <v>0.3</v>
      </c>
    </row>
    <row r="76" spans="1:8" ht="14.4" x14ac:dyDescent="0.3">
      <c r="A76" s="631" t="s">
        <v>1</v>
      </c>
      <c r="B76" s="632"/>
      <c r="C76" s="175">
        <f>E54</f>
        <v>12218076.25</v>
      </c>
      <c r="E76" s="201"/>
    </row>
    <row r="80" spans="1:8" ht="17.399999999999999" x14ac:dyDescent="0.3">
      <c r="B80" s="186" t="s">
        <v>471</v>
      </c>
      <c r="C80" s="177"/>
      <c r="D80" s="177"/>
      <c r="E80"/>
      <c r="F80"/>
      <c r="G80"/>
      <c r="H80"/>
    </row>
    <row r="81" spans="1:8" ht="17.399999999999999" x14ac:dyDescent="0.3">
      <c r="A81" s="176"/>
      <c r="B81" s="187"/>
      <c r="C81"/>
      <c r="D81"/>
      <c r="E81"/>
      <c r="F81"/>
      <c r="G81"/>
      <c r="H81"/>
    </row>
    <row r="82" spans="1:8" ht="24" x14ac:dyDescent="0.25">
      <c r="A82" s="525" t="s">
        <v>100</v>
      </c>
      <c r="B82" s="525" t="s">
        <v>451</v>
      </c>
      <c r="C82" s="526" t="s">
        <v>71</v>
      </c>
      <c r="D82" s="527" t="s">
        <v>452</v>
      </c>
      <c r="E82" s="633" t="s">
        <v>453</v>
      </c>
      <c r="F82" s="634"/>
    </row>
    <row r="83" spans="1:8" ht="24" x14ac:dyDescent="0.25">
      <c r="A83" s="528">
        <v>1</v>
      </c>
      <c r="B83" s="529" t="s">
        <v>454</v>
      </c>
      <c r="C83" s="530">
        <f>'10. Financial Indicators'!C42</f>
        <v>0.4269834759727747</v>
      </c>
      <c r="D83" s="528" t="s">
        <v>455</v>
      </c>
      <c r="E83" s="531" t="s">
        <v>456</v>
      </c>
      <c r="F83" s="528" t="s">
        <v>457</v>
      </c>
    </row>
    <row r="84" spans="1:8" ht="36" x14ac:dyDescent="0.25">
      <c r="A84" s="528">
        <v>2</v>
      </c>
      <c r="B84" s="529" t="s">
        <v>458</v>
      </c>
      <c r="C84" s="530">
        <f>'10. Financial Indicators'!C78:H78</f>
        <v>0.19774846940738805</v>
      </c>
      <c r="D84" s="528" t="s">
        <v>455</v>
      </c>
      <c r="E84" s="531" t="s">
        <v>459</v>
      </c>
      <c r="F84" s="528" t="s">
        <v>460</v>
      </c>
    </row>
    <row r="85" spans="1:8" ht="48" x14ac:dyDescent="0.25">
      <c r="A85" s="528">
        <v>3</v>
      </c>
      <c r="B85" s="529" t="s">
        <v>461</v>
      </c>
      <c r="C85" s="530">
        <f>'10. Financial Indicators'!C16</f>
        <v>0.12989999999999999</v>
      </c>
      <c r="D85" s="528" t="s">
        <v>455</v>
      </c>
      <c r="E85" s="531" t="s">
        <v>462</v>
      </c>
      <c r="F85" s="528" t="s">
        <v>463</v>
      </c>
    </row>
    <row r="86" spans="1:8" ht="84" x14ac:dyDescent="0.25">
      <c r="A86" s="528">
        <v>4</v>
      </c>
      <c r="B86" s="529" t="s">
        <v>464</v>
      </c>
      <c r="C86" s="532">
        <f>'10. Financial Indicators'!C66</f>
        <v>160059.54055688716</v>
      </c>
      <c r="D86" s="528" t="s">
        <v>467</v>
      </c>
      <c r="E86" s="531" t="s">
        <v>468</v>
      </c>
      <c r="F86" s="528" t="s">
        <v>465</v>
      </c>
    </row>
    <row r="87" spans="1:8" ht="48" x14ac:dyDescent="0.25">
      <c r="A87" s="533">
        <v>5</v>
      </c>
      <c r="B87" s="534" t="s">
        <v>466</v>
      </c>
      <c r="C87" s="535">
        <f>'10. Financial Indicators'!D94</f>
        <v>5.0069095703517741</v>
      </c>
      <c r="D87" s="533" t="s">
        <v>455</v>
      </c>
      <c r="E87" s="536" t="s">
        <v>470</v>
      </c>
      <c r="F87" s="533" t="s">
        <v>469</v>
      </c>
    </row>
    <row r="88" spans="1:8" x14ac:dyDescent="0.25">
      <c r="A88" s="537">
        <v>6</v>
      </c>
      <c r="B88" s="480" t="s">
        <v>511</v>
      </c>
      <c r="C88" s="538">
        <f>'10. Financial Indicators'!C114</f>
        <v>37.848340340258012</v>
      </c>
      <c r="D88" s="537" t="s">
        <v>512</v>
      </c>
      <c r="E88" s="537" t="s">
        <v>512</v>
      </c>
      <c r="F88" s="537" t="s">
        <v>512</v>
      </c>
    </row>
    <row r="90" spans="1:8" x14ac:dyDescent="0.25">
      <c r="B90" s="108" t="s">
        <v>513</v>
      </c>
    </row>
  </sheetData>
  <mergeCells count="2">
    <mergeCell ref="A76:B76"/>
    <mergeCell ref="E82:F8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91"/>
  <sheetViews>
    <sheetView view="pageBreakPreview" zoomScale="85" zoomScaleNormal="80" zoomScaleSheetLayoutView="85" workbookViewId="0">
      <selection activeCell="G33" sqref="G33"/>
    </sheetView>
  </sheetViews>
  <sheetFormatPr defaultColWidth="12.6640625" defaultRowHeight="10.199999999999999" x14ac:dyDescent="0.2"/>
  <cols>
    <col min="1" max="1" width="28" style="207" customWidth="1"/>
    <col min="2" max="2" width="4.5546875" style="207" hidden="1" customWidth="1"/>
    <col min="3" max="4" width="17" style="207" hidden="1" customWidth="1"/>
    <col min="5" max="5" width="12.44140625" style="207" customWidth="1"/>
    <col min="6" max="6" width="13.5546875" style="207" customWidth="1"/>
    <col min="7" max="7" width="14.6640625" style="207" customWidth="1"/>
    <col min="8" max="8" width="13.5546875" style="207" customWidth="1"/>
    <col min="9" max="9" width="13.44140625" style="207" customWidth="1"/>
    <col min="10" max="16384" width="12.6640625" style="207"/>
  </cols>
  <sheetData>
    <row r="1" spans="1:10" ht="19.5" customHeight="1" x14ac:dyDescent="0.2">
      <c r="A1" s="243"/>
    </row>
    <row r="2" spans="1:10" x14ac:dyDescent="0.2">
      <c r="A2" s="203"/>
      <c r="B2" s="203"/>
      <c r="E2" s="244"/>
      <c r="F2" s="244"/>
      <c r="G2" s="244"/>
      <c r="H2" s="244"/>
      <c r="I2" s="244"/>
    </row>
    <row r="3" spans="1:10" x14ac:dyDescent="0.2">
      <c r="A3" s="202" t="s">
        <v>70</v>
      </c>
      <c r="B3" s="202"/>
      <c r="D3" s="204"/>
      <c r="G3" s="204"/>
      <c r="H3" s="204"/>
      <c r="I3" s="204"/>
    </row>
    <row r="4" spans="1:10" x14ac:dyDescent="0.2">
      <c r="A4" s="202"/>
      <c r="B4" s="202"/>
      <c r="C4" s="204"/>
      <c r="H4" s="204" t="s">
        <v>119</v>
      </c>
    </row>
    <row r="5" spans="1:10" ht="33" customHeight="1" x14ac:dyDescent="0.2">
      <c r="A5" s="245" t="s">
        <v>0</v>
      </c>
      <c r="B5" s="246"/>
      <c r="C5" s="247" t="s">
        <v>33</v>
      </c>
      <c r="D5" s="367" t="s">
        <v>71</v>
      </c>
      <c r="E5" s="208" t="s">
        <v>3</v>
      </c>
      <c r="F5" s="269" t="s">
        <v>3</v>
      </c>
      <c r="G5" s="208" t="s">
        <v>3</v>
      </c>
      <c r="H5" s="269" t="s">
        <v>3</v>
      </c>
      <c r="I5" s="208" t="s">
        <v>3</v>
      </c>
    </row>
    <row r="6" spans="1:10" hidden="1" x14ac:dyDescent="0.2">
      <c r="A6" s="248" t="s">
        <v>93</v>
      </c>
      <c r="B6" s="202"/>
      <c r="C6" s="249" t="s">
        <v>13</v>
      </c>
      <c r="D6" s="368">
        <v>0.4</v>
      </c>
      <c r="E6" s="250">
        <v>0.7</v>
      </c>
      <c r="F6" s="377">
        <v>0.9</v>
      </c>
      <c r="G6" s="250">
        <v>1</v>
      </c>
      <c r="H6" s="377">
        <v>1</v>
      </c>
      <c r="I6" s="250">
        <v>1</v>
      </c>
    </row>
    <row r="7" spans="1:10" x14ac:dyDescent="0.2">
      <c r="A7" s="225"/>
      <c r="B7" s="251"/>
      <c r="C7" s="252" t="s">
        <v>111</v>
      </c>
      <c r="D7" s="369" t="s">
        <v>64</v>
      </c>
      <c r="E7" s="253" t="s">
        <v>150</v>
      </c>
      <c r="F7" s="378" t="s">
        <v>151</v>
      </c>
      <c r="G7" s="253" t="s">
        <v>152</v>
      </c>
      <c r="H7" s="378" t="s">
        <v>153</v>
      </c>
      <c r="I7" s="253" t="s">
        <v>154</v>
      </c>
    </row>
    <row r="8" spans="1:10" x14ac:dyDescent="0.2">
      <c r="A8" s="248" t="s">
        <v>322</v>
      </c>
      <c r="B8" s="202"/>
      <c r="C8" s="254"/>
      <c r="D8" s="370"/>
      <c r="E8" s="220"/>
      <c r="F8" s="255"/>
      <c r="G8" s="220"/>
      <c r="H8" s="255"/>
      <c r="I8" s="220"/>
    </row>
    <row r="9" spans="1:10" x14ac:dyDescent="0.2">
      <c r="A9" s="218" t="s">
        <v>158</v>
      </c>
      <c r="B9" s="203"/>
      <c r="C9" s="244">
        <v>1059365</v>
      </c>
      <c r="D9" s="265">
        <v>200000</v>
      </c>
      <c r="E9" s="244">
        <f>'8.Sales'!C5+0</f>
        <v>0</v>
      </c>
      <c r="F9" s="266">
        <f>'8.Sales'!D5+0</f>
        <v>57736800</v>
      </c>
      <c r="G9" s="244">
        <f>'8.Sales'!E5+0</f>
        <v>62985600</v>
      </c>
      <c r="H9" s="266">
        <f>'8.Sales'!F5+0</f>
        <v>68234400</v>
      </c>
      <c r="I9" s="244">
        <f>'8.Sales'!G5+0</f>
        <v>73483200</v>
      </c>
      <c r="J9" s="256"/>
    </row>
    <row r="10" spans="1:10" x14ac:dyDescent="0.2">
      <c r="A10" s="218" t="s">
        <v>230</v>
      </c>
      <c r="B10" s="203"/>
      <c r="C10" s="244"/>
      <c r="D10" s="265"/>
      <c r="E10" s="244">
        <f>'8.Sales'!C6+0</f>
        <v>1500000</v>
      </c>
      <c r="F10" s="266">
        <f>'8.Sales'!D6+0</f>
        <v>9900000</v>
      </c>
      <c r="G10" s="244">
        <f>'8.Sales'!E6+0</f>
        <v>11373000</v>
      </c>
      <c r="H10" s="266">
        <f>'8.Sales'!F6+0</f>
        <v>13635600</v>
      </c>
      <c r="I10" s="244">
        <f>'8.Sales'!G6+0</f>
        <v>17029200</v>
      </c>
      <c r="J10" s="256"/>
    </row>
    <row r="11" spans="1:10" x14ac:dyDescent="0.2">
      <c r="A11" s="218" t="s">
        <v>159</v>
      </c>
      <c r="B11" s="203"/>
      <c r="C11" s="244"/>
      <c r="D11" s="265"/>
      <c r="E11" s="244">
        <f>'8.Sales'!C7+0</f>
        <v>0</v>
      </c>
      <c r="F11" s="266">
        <f>'8.Sales'!D7+0</f>
        <v>359700</v>
      </c>
      <c r="G11" s="244">
        <f>'8.Sales'!E7+0</f>
        <v>397650</v>
      </c>
      <c r="H11" s="266">
        <f>'8.Sales'!F7+0</f>
        <v>442648</v>
      </c>
      <c r="I11" s="244">
        <f>'8.Sales'!G7+0</f>
        <v>494140</v>
      </c>
      <c r="J11" s="256"/>
    </row>
    <row r="12" spans="1:10" x14ac:dyDescent="0.2">
      <c r="A12" s="218" t="s">
        <v>209</v>
      </c>
      <c r="B12" s="203"/>
      <c r="C12" s="244"/>
      <c r="D12" s="265"/>
      <c r="E12" s="244">
        <f>'8.Sales'!C8+0</f>
        <v>0</v>
      </c>
      <c r="F12" s="266">
        <f>'8.Sales'!D8+0</f>
        <v>35750</v>
      </c>
      <c r="G12" s="244">
        <f>'8.Sales'!E8+0</f>
        <v>82225</v>
      </c>
      <c r="H12" s="266">
        <f>'8.Sales'!F8+0</f>
        <v>98670</v>
      </c>
      <c r="I12" s="244">
        <f>'8.Sales'!G8+0</f>
        <v>123337.23999999999</v>
      </c>
      <c r="J12" s="256"/>
    </row>
    <row r="13" spans="1:10" x14ac:dyDescent="0.2">
      <c r="A13" s="218" t="s">
        <v>234</v>
      </c>
      <c r="B13" s="203"/>
      <c r="C13" s="244"/>
      <c r="D13" s="265"/>
      <c r="E13" s="244">
        <f>'8.Sales'!C9+0</f>
        <v>0</v>
      </c>
      <c r="F13" s="266">
        <f>'8.Sales'!D9+0</f>
        <v>6600</v>
      </c>
      <c r="G13" s="244">
        <f>'8.Sales'!E9+0</f>
        <v>7590</v>
      </c>
      <c r="H13" s="266">
        <f>'8.Sales'!F9+0</f>
        <v>9108</v>
      </c>
      <c r="I13" s="244">
        <f>'8.Sales'!G9+0</f>
        <v>11382</v>
      </c>
      <c r="J13" s="256"/>
    </row>
    <row r="14" spans="1:10" x14ac:dyDescent="0.2">
      <c r="A14" s="257" t="s">
        <v>44</v>
      </c>
      <c r="B14" s="246"/>
      <c r="C14" s="258">
        <f t="shared" ref="C14:I14" si="0">SUM(C9:C13)</f>
        <v>1059365</v>
      </c>
      <c r="D14" s="371">
        <f t="shared" si="0"/>
        <v>200000</v>
      </c>
      <c r="E14" s="258">
        <f t="shared" si="0"/>
        <v>1500000</v>
      </c>
      <c r="F14" s="259">
        <f t="shared" si="0"/>
        <v>68038850</v>
      </c>
      <c r="G14" s="258">
        <f t="shared" si="0"/>
        <v>74846065</v>
      </c>
      <c r="H14" s="259">
        <f t="shared" si="0"/>
        <v>82420426</v>
      </c>
      <c r="I14" s="258">
        <f t="shared" si="0"/>
        <v>91141259.239999995</v>
      </c>
    </row>
    <row r="15" spans="1:10" x14ac:dyDescent="0.2">
      <c r="A15" s="225"/>
      <c r="B15" s="251"/>
      <c r="C15" s="260"/>
      <c r="D15" s="372"/>
      <c r="E15" s="260"/>
      <c r="F15" s="261"/>
      <c r="G15" s="260"/>
      <c r="H15" s="261"/>
      <c r="I15" s="260"/>
    </row>
    <row r="16" spans="1:10" x14ac:dyDescent="0.2">
      <c r="A16" s="245" t="s">
        <v>324</v>
      </c>
      <c r="B16" s="246"/>
      <c r="C16" s="262"/>
      <c r="D16" s="373"/>
      <c r="E16" s="262"/>
      <c r="F16" s="263"/>
      <c r="G16" s="262"/>
      <c r="H16" s="263"/>
      <c r="I16" s="262"/>
    </row>
    <row r="17" spans="1:9" x14ac:dyDescent="0.2">
      <c r="A17" s="264" t="s">
        <v>214</v>
      </c>
      <c r="B17" s="202"/>
      <c r="C17" s="265"/>
      <c r="D17" s="265"/>
      <c r="E17" s="244"/>
      <c r="F17" s="266"/>
      <c r="G17" s="244"/>
      <c r="H17" s="266"/>
      <c r="I17" s="244"/>
    </row>
    <row r="18" spans="1:9" x14ac:dyDescent="0.2">
      <c r="A18" s="218" t="s">
        <v>215</v>
      </c>
      <c r="B18" s="202"/>
      <c r="C18" s="265"/>
      <c r="D18" s="265"/>
      <c r="E18" s="244">
        <f>'9. Expenses'!C10</f>
        <v>0</v>
      </c>
      <c r="F18" s="266">
        <f>'9. Expenses'!D10</f>
        <v>46189440</v>
      </c>
      <c r="G18" s="244">
        <f>'9. Expenses'!E10</f>
        <v>48288960</v>
      </c>
      <c r="H18" s="266">
        <f>'9. Expenses'!F10</f>
        <v>50388480</v>
      </c>
      <c r="I18" s="244">
        <f>'9. Expenses'!G10</f>
        <v>52488000</v>
      </c>
    </row>
    <row r="19" spans="1:9" ht="20.399999999999999" x14ac:dyDescent="0.2">
      <c r="A19" s="268" t="s">
        <v>542</v>
      </c>
      <c r="B19" s="202"/>
      <c r="C19" s="265"/>
      <c r="D19" s="265"/>
      <c r="E19" s="244">
        <v>40000</v>
      </c>
      <c r="F19" s="266"/>
      <c r="G19" s="244"/>
      <c r="H19" s="266"/>
      <c r="I19" s="244"/>
    </row>
    <row r="20" spans="1:9" x14ac:dyDescent="0.2">
      <c r="A20" s="218" t="s">
        <v>216</v>
      </c>
      <c r="B20" s="202"/>
      <c r="C20" s="265"/>
      <c r="D20" s="265"/>
      <c r="E20" s="244">
        <f>'9. Expenses'!C11</f>
        <v>0</v>
      </c>
      <c r="F20" s="266">
        <f>'9. Expenses'!D11</f>
        <v>699840</v>
      </c>
      <c r="G20" s="244">
        <f>'9. Expenses'!E11</f>
        <v>769824</v>
      </c>
      <c r="H20" s="266">
        <f>'9. Expenses'!F11</f>
        <v>769824</v>
      </c>
      <c r="I20" s="244">
        <f>'9. Expenses'!G11</f>
        <v>769824</v>
      </c>
    </row>
    <row r="21" spans="1:9" x14ac:dyDescent="0.2">
      <c r="A21" s="218" t="s">
        <v>257</v>
      </c>
      <c r="B21" s="202"/>
      <c r="C21" s="265"/>
      <c r="D21" s="265"/>
      <c r="E21" s="244">
        <f>'9. Expenses'!C12</f>
        <v>0</v>
      </c>
      <c r="F21" s="266">
        <f>'9. Expenses'!D12</f>
        <v>3569184</v>
      </c>
      <c r="G21" s="244">
        <f>'9. Expenses'!E12</f>
        <v>3639168</v>
      </c>
      <c r="H21" s="266">
        <f>'9. Expenses'!F12</f>
        <v>3709152</v>
      </c>
      <c r="I21" s="244">
        <f>'9. Expenses'!G12</f>
        <v>3779136.0000000005</v>
      </c>
    </row>
    <row r="22" spans="1:9" x14ac:dyDescent="0.2">
      <c r="A22" s="362" t="s">
        <v>268</v>
      </c>
      <c r="B22" s="202"/>
      <c r="C22" s="266"/>
      <c r="D22" s="266"/>
      <c r="E22" s="244">
        <f>'9. Expenses'!C13</f>
        <v>1969600</v>
      </c>
      <c r="F22" s="266">
        <f>'9. Expenses'!D13</f>
        <v>5929600</v>
      </c>
      <c r="G22" s="244">
        <f>'9. Expenses'!E13</f>
        <v>6018544</v>
      </c>
      <c r="H22" s="266">
        <f>'9. Expenses'!F13</f>
        <v>6108822.1599999992</v>
      </c>
      <c r="I22" s="244">
        <f>'9. Expenses'!G13</f>
        <v>6200454.492399998</v>
      </c>
    </row>
    <row r="23" spans="1:9" x14ac:dyDescent="0.2">
      <c r="A23" s="362" t="s">
        <v>301</v>
      </c>
      <c r="B23" s="202"/>
      <c r="C23" s="266"/>
      <c r="D23" s="266"/>
      <c r="E23" s="244">
        <f>'9. Expenses'!C14</f>
        <v>66653</v>
      </c>
      <c r="F23" s="266">
        <f>'9. Expenses'!D14</f>
        <v>246653</v>
      </c>
      <c r="G23" s="244">
        <f>'9. Expenses'!E14</f>
        <v>258446.47500000001</v>
      </c>
      <c r="H23" s="266">
        <f>'9. Expenses'!F14</f>
        <v>270821.53612499998</v>
      </c>
      <c r="I23" s="244">
        <f>'9. Expenses'!G14</f>
        <v>283807.14136687503</v>
      </c>
    </row>
    <row r="24" spans="1:9" x14ac:dyDescent="0.2">
      <c r="A24" s="362" t="s">
        <v>496</v>
      </c>
      <c r="B24" s="202"/>
      <c r="C24" s="266"/>
      <c r="D24" s="266"/>
      <c r="E24" s="244">
        <f>'9. Expenses'!C15-40000</f>
        <v>158000</v>
      </c>
      <c r="F24" s="266">
        <f>'9. Expenses'!D15</f>
        <v>217800.00000000003</v>
      </c>
      <c r="G24" s="244">
        <f>'9. Expenses'!E15</f>
        <v>227699.99999999997</v>
      </c>
      <c r="H24" s="266">
        <f>'9. Expenses'!F15</f>
        <v>237600</v>
      </c>
      <c r="I24" s="244">
        <f>'9. Expenses'!G15</f>
        <v>247500</v>
      </c>
    </row>
    <row r="25" spans="1:9" x14ac:dyDescent="0.2">
      <c r="A25" s="363" t="s">
        <v>259</v>
      </c>
      <c r="B25" s="246"/>
      <c r="C25" s="259"/>
      <c r="D25" s="259"/>
      <c r="E25" s="258">
        <f>SUM(E18:E24)</f>
        <v>2234253</v>
      </c>
      <c r="F25" s="259">
        <f>SUM(F18:F24)</f>
        <v>56852517</v>
      </c>
      <c r="G25" s="258">
        <f>SUM(G18:G24)</f>
        <v>59202642.475000001</v>
      </c>
      <c r="H25" s="259">
        <f>SUM(H18:H24)</f>
        <v>61484699.696124993</v>
      </c>
      <c r="I25" s="258">
        <f>SUM(I18:I24)</f>
        <v>63768721.633766875</v>
      </c>
    </row>
    <row r="26" spans="1:9" x14ac:dyDescent="0.2">
      <c r="A26" s="267"/>
      <c r="C26" s="265"/>
      <c r="D26" s="265"/>
      <c r="E26" s="244"/>
      <c r="F26" s="266"/>
      <c r="G26" s="244"/>
      <c r="H26" s="266"/>
      <c r="I26" s="244"/>
    </row>
    <row r="27" spans="1:9" x14ac:dyDescent="0.2">
      <c r="A27" s="363" t="s">
        <v>222</v>
      </c>
      <c r="C27" s="265"/>
      <c r="D27" s="265"/>
      <c r="E27" s="244"/>
      <c r="F27" s="266"/>
      <c r="G27" s="244"/>
      <c r="H27" s="266"/>
      <c r="I27" s="244"/>
    </row>
    <row r="28" spans="1:9" x14ac:dyDescent="0.2">
      <c r="A28" s="218" t="s">
        <v>223</v>
      </c>
      <c r="C28" s="265"/>
      <c r="D28" s="265"/>
      <c r="E28" s="244">
        <f>'9. Expenses'!C36+0</f>
        <v>212000</v>
      </c>
      <c r="F28" s="266">
        <f>'9. Expenses'!D36+0</f>
        <v>1555200</v>
      </c>
      <c r="G28" s="244">
        <f>'9. Expenses'!E36+0</f>
        <v>1684800</v>
      </c>
      <c r="H28" s="266">
        <f>'9. Expenses'!F36+0</f>
        <v>1944000</v>
      </c>
      <c r="I28" s="244">
        <f>'9. Expenses'!G36+0</f>
        <v>2073600</v>
      </c>
    </row>
    <row r="29" spans="1:9" x14ac:dyDescent="0.2">
      <c r="A29" s="218" t="s">
        <v>224</v>
      </c>
      <c r="C29" s="265"/>
      <c r="D29" s="265"/>
      <c r="E29" s="244">
        <f>'9. Expenses'!C37+0</f>
        <v>5000</v>
      </c>
      <c r="F29" s="266">
        <f>'9. Expenses'!D37+0</f>
        <v>5250</v>
      </c>
      <c r="G29" s="244">
        <f>'9. Expenses'!E37+0</f>
        <v>5775.0000000000009</v>
      </c>
      <c r="H29" s="266">
        <f>'9. Expenses'!F37+0</f>
        <v>6641.2500000000009</v>
      </c>
      <c r="I29" s="244">
        <f>'9. Expenses'!G37+0</f>
        <v>7969.5000000000009</v>
      </c>
    </row>
    <row r="30" spans="1:9" x14ac:dyDescent="0.2">
      <c r="A30" s="218" t="s">
        <v>225</v>
      </c>
      <c r="C30" s="265"/>
      <c r="D30" s="265"/>
      <c r="E30" s="244">
        <f>'9. Expenses'!C38+0</f>
        <v>4500</v>
      </c>
      <c r="F30" s="266">
        <f>'9. Expenses'!D38+0</f>
        <v>9000</v>
      </c>
      <c r="G30" s="244">
        <f>'9. Expenses'!E38+0</f>
        <v>13500</v>
      </c>
      <c r="H30" s="266">
        <f>'9. Expenses'!F38+0</f>
        <v>27000</v>
      </c>
      <c r="I30" s="244">
        <f>'9. Expenses'!G38+0</f>
        <v>81000</v>
      </c>
    </row>
    <row r="31" spans="1:9" ht="20.399999999999999" x14ac:dyDescent="0.2">
      <c r="A31" s="268" t="s">
        <v>256</v>
      </c>
      <c r="C31" s="265"/>
      <c r="D31" s="265"/>
      <c r="E31" s="244">
        <f>'9. Expenses'!C39+0</f>
        <v>9000</v>
      </c>
      <c r="F31" s="266">
        <f>'9. Expenses'!D39+0-246575</f>
        <v>7893425</v>
      </c>
      <c r="G31" s="244">
        <f>'9. Expenses'!E39+0-184628</f>
        <v>10735372</v>
      </c>
      <c r="H31" s="266">
        <f>'9. Expenses'!F39+0-116869</f>
        <v>15683131</v>
      </c>
      <c r="I31" s="244">
        <f>'9. Expenses'!G39+0-42754</f>
        <v>21097246</v>
      </c>
    </row>
    <row r="32" spans="1:9" x14ac:dyDescent="0.2">
      <c r="A32" s="268" t="s">
        <v>575</v>
      </c>
      <c r="C32" s="265"/>
      <c r="D32" s="265"/>
      <c r="E32" s="244">
        <f>Interest!H23</f>
        <v>279001.10336461919</v>
      </c>
      <c r="F32" s="266">
        <f>Interest!H35</f>
        <v>246575.21693430407</v>
      </c>
      <c r="G32" s="244">
        <f>Interest!H47</f>
        <v>184627.69484855799</v>
      </c>
      <c r="H32" s="266">
        <f>Interest!H59</f>
        <v>116869.06789754343</v>
      </c>
      <c r="I32" s="244">
        <f>Interest!H71</f>
        <v>42754.214361808699</v>
      </c>
    </row>
    <row r="33" spans="1:9" x14ac:dyDescent="0.2">
      <c r="A33" s="208" t="s">
        <v>227</v>
      </c>
      <c r="C33" s="244">
        <f>SUM(C26:C31)</f>
        <v>0</v>
      </c>
      <c r="D33" s="265">
        <f>SUM(D26:D31)</f>
        <v>0</v>
      </c>
      <c r="E33" s="244">
        <f>SUM(E28:E32)</f>
        <v>509501.10336461919</v>
      </c>
      <c r="F33" s="244">
        <f t="shared" ref="F33:I33" si="1">SUM(F28:F32)</f>
        <v>9709450.2169343047</v>
      </c>
      <c r="G33" s="244">
        <f t="shared" si="1"/>
        <v>12624074.694848558</v>
      </c>
      <c r="H33" s="244">
        <f t="shared" si="1"/>
        <v>17777641.317897543</v>
      </c>
      <c r="I33" s="244">
        <f t="shared" si="1"/>
        <v>23302569.714361809</v>
      </c>
    </row>
    <row r="34" spans="1:9" x14ac:dyDescent="0.2">
      <c r="A34" s="364"/>
      <c r="B34" s="270"/>
      <c r="C34" s="263"/>
      <c r="D34" s="263"/>
      <c r="E34" s="262"/>
      <c r="F34" s="263"/>
      <c r="G34" s="262"/>
      <c r="H34" s="263"/>
      <c r="I34" s="262"/>
    </row>
    <row r="35" spans="1:9" x14ac:dyDescent="0.2">
      <c r="A35" s="365" t="s">
        <v>260</v>
      </c>
      <c r="C35" s="266"/>
      <c r="D35" s="266"/>
      <c r="E35" s="244">
        <f>E25+E33</f>
        <v>2743754.1033646194</v>
      </c>
      <c r="F35" s="266">
        <f>F25+F33</f>
        <v>66561967.216934308</v>
      </c>
      <c r="G35" s="244">
        <f>G25+G33</f>
        <v>71826717.169848561</v>
      </c>
      <c r="H35" s="266">
        <f>H25+H33</f>
        <v>79262341.014022529</v>
      </c>
      <c r="I35" s="244">
        <f>I25+I33</f>
        <v>87071291.348128676</v>
      </c>
    </row>
    <row r="36" spans="1:9" x14ac:dyDescent="0.2">
      <c r="A36" s="366"/>
      <c r="B36" s="251"/>
      <c r="C36" s="261"/>
      <c r="D36" s="261"/>
      <c r="E36" s="260"/>
      <c r="F36" s="261"/>
      <c r="G36" s="260"/>
      <c r="H36" s="261"/>
      <c r="I36" s="260"/>
    </row>
    <row r="37" spans="1:9" ht="20.399999999999999" x14ac:dyDescent="0.2">
      <c r="A37" s="271" t="s">
        <v>261</v>
      </c>
      <c r="B37" s="236"/>
      <c r="C37" s="260">
        <f>C14-C33</f>
        <v>1059365</v>
      </c>
      <c r="D37" s="372">
        <f>D14-D33</f>
        <v>200000</v>
      </c>
      <c r="E37" s="260">
        <f>E14-E35</f>
        <v>-1243754.1033646194</v>
      </c>
      <c r="F37" s="261">
        <f>F14-F35</f>
        <v>1476882.7830656916</v>
      </c>
      <c r="G37" s="260">
        <f>G14-G35</f>
        <v>3019347.8301514387</v>
      </c>
      <c r="H37" s="261">
        <f>H14-H35</f>
        <v>3158084.9859774709</v>
      </c>
      <c r="I37" s="260">
        <f>I14-I35</f>
        <v>4069967.8918713182</v>
      </c>
    </row>
    <row r="38" spans="1:9" hidden="1" x14ac:dyDescent="0.2">
      <c r="A38" s="218" t="s">
        <v>45</v>
      </c>
      <c r="B38" s="203"/>
      <c r="C38" s="272">
        <f t="shared" ref="C38:I38" si="2">C37/C9</f>
        <v>1</v>
      </c>
      <c r="D38" s="374">
        <f t="shared" si="2"/>
        <v>1</v>
      </c>
      <c r="E38" s="273" t="e">
        <f t="shared" si="2"/>
        <v>#DIV/0!</v>
      </c>
      <c r="F38" s="274">
        <f t="shared" si="2"/>
        <v>2.5579574605203121E-2</v>
      </c>
      <c r="G38" s="273">
        <f t="shared" si="2"/>
        <v>4.7937113088570064E-2</v>
      </c>
      <c r="H38" s="274">
        <f t="shared" si="2"/>
        <v>4.6282886432319634E-2</v>
      </c>
      <c r="I38" s="273">
        <f t="shared" si="2"/>
        <v>5.5386372556874473E-2</v>
      </c>
    </row>
    <row r="39" spans="1:9" x14ac:dyDescent="0.2">
      <c r="A39" s="218"/>
      <c r="B39" s="203"/>
      <c r="C39" s="272"/>
      <c r="D39" s="374"/>
      <c r="E39" s="273"/>
      <c r="F39" s="274"/>
      <c r="G39" s="273"/>
      <c r="H39" s="274"/>
      <c r="I39" s="273"/>
    </row>
    <row r="40" spans="1:9" x14ac:dyDescent="0.2">
      <c r="A40" s="248" t="s">
        <v>506</v>
      </c>
      <c r="C40" s="244"/>
      <c r="D40" s="265"/>
      <c r="E40" s="244">
        <f>'9. Expenses'!C64+0</f>
        <v>24000</v>
      </c>
      <c r="F40" s="266">
        <f>'9. Expenses'!D64+0</f>
        <v>24000</v>
      </c>
      <c r="G40" s="244">
        <f>'9. Expenses'!E64+0</f>
        <v>24000</v>
      </c>
      <c r="H40" s="266">
        <f>'9. Expenses'!F64+0</f>
        <v>24000</v>
      </c>
      <c r="I40" s="244">
        <f>'9. Expenses'!G64+0</f>
        <v>24000</v>
      </c>
    </row>
    <row r="41" spans="1:9" x14ac:dyDescent="0.2">
      <c r="A41" s="218"/>
      <c r="B41" s="203"/>
      <c r="C41" s="244"/>
      <c r="D41" s="265"/>
      <c r="E41" s="244"/>
      <c r="F41" s="266"/>
      <c r="G41" s="244"/>
      <c r="H41" s="266"/>
      <c r="I41" s="244"/>
    </row>
    <row r="42" spans="1:9" x14ac:dyDescent="0.2">
      <c r="A42" s="248" t="s">
        <v>507</v>
      </c>
      <c r="B42" s="203"/>
      <c r="C42" s="244">
        <v>21288</v>
      </c>
      <c r="D42" s="265">
        <f>'7. depreciation'!G59</f>
        <v>0</v>
      </c>
      <c r="E42" s="244">
        <f>'7. depreciation'!H59/2</f>
        <v>908043.21875</v>
      </c>
      <c r="F42" s="266">
        <f>'9. Expenses'!D40+0</f>
        <v>1538848.471875</v>
      </c>
      <c r="G42" s="244">
        <f>'9. Expenses'!E40+0</f>
        <v>1305313.7010937501</v>
      </c>
      <c r="H42" s="266">
        <f>'9. Expenses'!F40+0</f>
        <v>1108060.8959296874</v>
      </c>
      <c r="I42" s="244">
        <f>'9. Expenses'!G40+0</f>
        <v>941130.18654023437</v>
      </c>
    </row>
    <row r="43" spans="1:9" x14ac:dyDescent="0.2">
      <c r="A43" s="264"/>
      <c r="B43" s="251"/>
      <c r="C43" s="260"/>
      <c r="D43" s="372"/>
      <c r="E43" s="260"/>
      <c r="F43" s="261"/>
      <c r="G43" s="260"/>
      <c r="H43" s="261"/>
      <c r="I43" s="260"/>
    </row>
    <row r="44" spans="1:9" x14ac:dyDescent="0.2">
      <c r="A44" s="248" t="s">
        <v>508</v>
      </c>
      <c r="B44" s="202"/>
      <c r="C44" s="265" t="e">
        <f>C37+#REF!-C40-C42-#REF!</f>
        <v>#REF!</v>
      </c>
      <c r="D44" s="373" t="e">
        <f>D37+#REF!-D40-D42-#REF!</f>
        <v>#REF!</v>
      </c>
      <c r="E44" s="262">
        <f>E37-E40-E42</f>
        <v>-2175797.3221146194</v>
      </c>
      <c r="F44" s="263">
        <f>F37-F40-F42</f>
        <v>-85965.688809308456</v>
      </c>
      <c r="G44" s="262">
        <f>G37-G40-G42</f>
        <v>1690034.1290576886</v>
      </c>
      <c r="H44" s="263">
        <f>H37-H40-H42</f>
        <v>2026024.0900477835</v>
      </c>
      <c r="I44" s="262">
        <f>I37-I40-I42</f>
        <v>3104837.7053310839</v>
      </c>
    </row>
    <row r="45" spans="1:9" x14ac:dyDescent="0.2">
      <c r="A45" s="218" t="s">
        <v>263</v>
      </c>
      <c r="B45" s="202"/>
      <c r="C45" s="275"/>
      <c r="D45" s="374"/>
      <c r="E45" s="277">
        <v>0</v>
      </c>
      <c r="F45" s="276">
        <v>0</v>
      </c>
      <c r="G45" s="277">
        <v>0</v>
      </c>
      <c r="H45" s="276">
        <v>0</v>
      </c>
      <c r="I45" s="277">
        <v>0</v>
      </c>
    </row>
    <row r="46" spans="1:9" x14ac:dyDescent="0.2">
      <c r="A46" s="220"/>
      <c r="B46" s="255"/>
      <c r="C46" s="278"/>
      <c r="D46" s="375"/>
      <c r="E46" s="273"/>
      <c r="F46" s="274"/>
      <c r="G46" s="273"/>
      <c r="H46" s="274"/>
      <c r="I46" s="273"/>
    </row>
    <row r="47" spans="1:9" ht="10.8" thickBot="1" x14ac:dyDescent="0.25">
      <c r="A47" s="279" t="s">
        <v>509</v>
      </c>
      <c r="B47" s="280"/>
      <c r="C47" s="281" t="e">
        <f>C44-#REF!</f>
        <v>#REF!</v>
      </c>
      <c r="D47" s="376" t="e">
        <f>D44-#REF!</f>
        <v>#REF!</v>
      </c>
      <c r="E47" s="281">
        <f>E44-E45</f>
        <v>-2175797.3221146194</v>
      </c>
      <c r="F47" s="282">
        <f>F44-F45</f>
        <v>-85965.688809308456</v>
      </c>
      <c r="G47" s="281">
        <f>G44-G45</f>
        <v>1690034.1290576886</v>
      </c>
      <c r="H47" s="282">
        <f>H44-H45</f>
        <v>2026024.0900477835</v>
      </c>
      <c r="I47" s="281">
        <f>I44-I45</f>
        <v>3104837.7053310839</v>
      </c>
    </row>
    <row r="48" spans="1:9" ht="10.8" hidden="1" thickTop="1" x14ac:dyDescent="0.2">
      <c r="A48" s="218" t="s">
        <v>46</v>
      </c>
      <c r="B48" s="203"/>
      <c r="C48" s="244"/>
      <c r="D48" s="265" t="e">
        <f>#REF!/D9</f>
        <v>#REF!</v>
      </c>
      <c r="E48" s="244" t="e">
        <f>#REF!/E9</f>
        <v>#REF!</v>
      </c>
      <c r="F48" s="266" t="e">
        <f>#REF!/F9</f>
        <v>#REF!</v>
      </c>
      <c r="G48" s="244" t="e">
        <f>#REF!/G9</f>
        <v>#REF!</v>
      </c>
      <c r="H48" s="266" t="e">
        <f>#REF!/H9</f>
        <v>#REF!</v>
      </c>
      <c r="I48" s="244" t="e">
        <f>#REF!/I9</f>
        <v>#REF!</v>
      </c>
    </row>
    <row r="49" spans="1:9" ht="10.8" thickTop="1" x14ac:dyDescent="0.2">
      <c r="A49" s="245"/>
      <c r="B49" s="246"/>
      <c r="C49" s="262"/>
      <c r="D49" s="373"/>
      <c r="E49" s="262"/>
      <c r="F49" s="263"/>
      <c r="G49" s="262"/>
      <c r="H49" s="263"/>
      <c r="I49" s="262"/>
    </row>
    <row r="50" spans="1:9" x14ac:dyDescent="0.2">
      <c r="A50" s="264" t="s">
        <v>510</v>
      </c>
      <c r="B50" s="236"/>
      <c r="C50" s="260" t="e">
        <f>C47+C42</f>
        <v>#REF!</v>
      </c>
      <c r="D50" s="372" t="e">
        <f>D47+D42</f>
        <v>#REF!</v>
      </c>
      <c r="E50" s="260">
        <f>E37+0</f>
        <v>-1243754.1033646194</v>
      </c>
      <c r="F50" s="261">
        <f>F37+0</f>
        <v>1476882.7830656916</v>
      </c>
      <c r="G50" s="260">
        <f>G37+0</f>
        <v>3019347.8301514387</v>
      </c>
      <c r="H50" s="261">
        <f>H37+0</f>
        <v>3158084.9859774709</v>
      </c>
      <c r="I50" s="260">
        <f>I37+0</f>
        <v>4069967.8918713182</v>
      </c>
    </row>
    <row r="51" spans="1:9" x14ac:dyDescent="0.2">
      <c r="A51" s="231"/>
      <c r="B51" s="202"/>
      <c r="C51" s="256"/>
      <c r="D51" s="274"/>
      <c r="E51" s="273"/>
      <c r="F51" s="274"/>
      <c r="G51" s="273"/>
      <c r="H51" s="274"/>
      <c r="I51" s="273"/>
    </row>
    <row r="52" spans="1:9" hidden="1" x14ac:dyDescent="0.2">
      <c r="A52" s="202"/>
      <c r="B52" s="202"/>
      <c r="C52" s="256"/>
      <c r="D52" s="274"/>
      <c r="E52" s="274"/>
      <c r="F52" s="274"/>
      <c r="H52" s="274" t="e">
        <f>+#REF!</f>
        <v>#REF!</v>
      </c>
      <c r="I52" s="274"/>
    </row>
    <row r="53" spans="1:9" hidden="1" x14ac:dyDescent="0.2">
      <c r="A53" s="202"/>
      <c r="B53" s="202"/>
      <c r="C53" s="256"/>
      <c r="D53" s="274"/>
      <c r="E53" s="274"/>
      <c r="F53" s="274"/>
      <c r="H53" s="274" t="e">
        <f>+#REF!</f>
        <v>#REF!</v>
      </c>
      <c r="I53" s="274"/>
    </row>
    <row r="54" spans="1:9" hidden="1" x14ac:dyDescent="0.2">
      <c r="A54" s="202"/>
      <c r="B54" s="202"/>
      <c r="C54" s="256"/>
      <c r="D54" s="274"/>
      <c r="E54" s="274"/>
      <c r="F54" s="274"/>
      <c r="H54" s="274"/>
      <c r="I54" s="274"/>
    </row>
    <row r="55" spans="1:9" hidden="1" x14ac:dyDescent="0.2">
      <c r="A55" s="202"/>
      <c r="B55" s="202"/>
      <c r="C55" s="256"/>
      <c r="D55" s="274"/>
      <c r="E55" s="274"/>
      <c r="F55" s="274"/>
      <c r="H55" s="274"/>
      <c r="I55" s="274"/>
    </row>
    <row r="56" spans="1:9" hidden="1" x14ac:dyDescent="0.2">
      <c r="A56" s="203" t="e">
        <f>+#REF!</f>
        <v>#REF!</v>
      </c>
      <c r="B56" s="202"/>
      <c r="C56" s="256"/>
      <c r="D56" s="274"/>
      <c r="E56" s="274"/>
      <c r="F56" s="274"/>
      <c r="H56" s="274" t="e">
        <f>+#REF!</f>
        <v>#REF!</v>
      </c>
      <c r="I56" s="274"/>
    </row>
    <row r="57" spans="1:9" hidden="1" x14ac:dyDescent="0.2">
      <c r="A57" s="203" t="e">
        <f>+#REF!</f>
        <v>#REF!</v>
      </c>
      <c r="B57" s="202"/>
      <c r="C57" s="256"/>
      <c r="D57" s="274"/>
      <c r="E57" s="274"/>
      <c r="F57" s="274"/>
      <c r="H57" s="274" t="e">
        <f>+#REF!</f>
        <v>#REF!</v>
      </c>
      <c r="I57" s="274"/>
    </row>
    <row r="58" spans="1:9" hidden="1" x14ac:dyDescent="0.2">
      <c r="A58" s="202"/>
      <c r="B58" s="202"/>
      <c r="C58" s="256"/>
      <c r="D58" s="274"/>
      <c r="E58" s="274"/>
      <c r="F58" s="274"/>
      <c r="G58" s="274"/>
      <c r="H58" s="274"/>
      <c r="I58" s="274"/>
    </row>
    <row r="59" spans="1:9" hidden="1" x14ac:dyDescent="0.2">
      <c r="A59" s="202"/>
      <c r="B59" s="202"/>
      <c r="C59" s="203"/>
      <c r="D59" s="274"/>
      <c r="E59" s="274"/>
      <c r="F59" s="274"/>
      <c r="G59" s="274"/>
      <c r="H59" s="274"/>
      <c r="I59" s="274"/>
    </row>
    <row r="60" spans="1:9" ht="12" hidden="1" x14ac:dyDescent="0.35">
      <c r="A60" s="202" t="s">
        <v>21</v>
      </c>
      <c r="B60" s="202"/>
      <c r="C60" s="283"/>
      <c r="D60" s="274"/>
      <c r="E60" s="274">
        <f>+E50</f>
        <v>-1243754.1033646194</v>
      </c>
      <c r="F60" s="274">
        <f>+F50</f>
        <v>1476882.7830656916</v>
      </c>
      <c r="G60" s="274">
        <f>+G50</f>
        <v>3019347.8301514387</v>
      </c>
      <c r="H60" s="274"/>
      <c r="I60" s="274"/>
    </row>
    <row r="61" spans="1:9" hidden="1" x14ac:dyDescent="0.2">
      <c r="A61" s="202" t="s">
        <v>22</v>
      </c>
      <c r="B61" s="202"/>
      <c r="D61" s="274"/>
      <c r="E61" s="274" t="e">
        <f>+'[1]balance sheet'!F15</f>
        <v>#REF!</v>
      </c>
      <c r="F61" s="274" t="e">
        <f>+'[1]balance sheet'!G15</f>
        <v>#REF!</v>
      </c>
      <c r="G61" s="274" t="e">
        <f>+'[1]balance sheet'!H15</f>
        <v>#REF!</v>
      </c>
      <c r="H61" s="274"/>
      <c r="I61" s="274"/>
    </row>
    <row r="62" spans="1:9" hidden="1" x14ac:dyDescent="0.2">
      <c r="A62" s="203"/>
      <c r="B62" s="203"/>
      <c r="C62" s="284"/>
      <c r="D62" s="274"/>
      <c r="E62" s="274"/>
      <c r="F62" s="274"/>
      <c r="G62" s="274"/>
      <c r="H62" s="274"/>
      <c r="I62" s="274"/>
    </row>
    <row r="63" spans="1:9" hidden="1" x14ac:dyDescent="0.2">
      <c r="A63" s="202" t="s">
        <v>23</v>
      </c>
      <c r="B63" s="202"/>
      <c r="D63" s="203"/>
      <c r="E63" s="203" t="e">
        <f t="shared" ref="E63:G63" si="3">+E60/E61</f>
        <v>#REF!</v>
      </c>
      <c r="F63" s="203" t="e">
        <f t="shared" si="3"/>
        <v>#REF!</v>
      </c>
      <c r="G63" s="203" t="e">
        <f t="shared" si="3"/>
        <v>#REF!</v>
      </c>
      <c r="H63" s="203"/>
      <c r="I63" s="203"/>
    </row>
    <row r="64" spans="1:9" hidden="1" x14ac:dyDescent="0.2">
      <c r="A64" s="203"/>
      <c r="B64" s="203"/>
      <c r="D64" s="274"/>
      <c r="E64" s="274"/>
      <c r="F64" s="274"/>
      <c r="G64" s="274"/>
      <c r="H64" s="274"/>
      <c r="I64" s="274"/>
    </row>
    <row r="65" spans="1:9" hidden="1" x14ac:dyDescent="0.2">
      <c r="A65" s="202" t="s">
        <v>24</v>
      </c>
      <c r="B65" s="202"/>
      <c r="D65" s="274"/>
      <c r="E65" s="274"/>
      <c r="F65" s="274"/>
      <c r="G65" s="274"/>
      <c r="H65" s="274"/>
      <c r="I65" s="274"/>
    </row>
    <row r="66" spans="1:9" hidden="1" x14ac:dyDescent="0.2">
      <c r="A66" s="202" t="s">
        <v>25</v>
      </c>
      <c r="B66" s="202"/>
      <c r="D66" s="274"/>
      <c r="E66" s="274">
        <f>+E14</f>
        <v>1500000</v>
      </c>
      <c r="F66" s="274">
        <f>+F14</f>
        <v>68038850</v>
      </c>
      <c r="G66" s="274">
        <f>+G14</f>
        <v>74846065</v>
      </c>
      <c r="H66" s="274"/>
      <c r="I66" s="274"/>
    </row>
    <row r="67" spans="1:9" hidden="1" x14ac:dyDescent="0.2">
      <c r="A67" s="202" t="s">
        <v>26</v>
      </c>
      <c r="B67" s="202"/>
      <c r="D67" s="274"/>
      <c r="E67" s="274">
        <f t="shared" ref="E67:G67" si="4">+E66/365</f>
        <v>4109.58904109589</v>
      </c>
      <c r="F67" s="274">
        <f t="shared" si="4"/>
        <v>186407.80821917808</v>
      </c>
      <c r="G67" s="274">
        <f t="shared" si="4"/>
        <v>205057.71232876711</v>
      </c>
      <c r="H67" s="274"/>
      <c r="I67" s="274"/>
    </row>
    <row r="68" spans="1:9" hidden="1" x14ac:dyDescent="0.2">
      <c r="A68" s="202" t="s">
        <v>27</v>
      </c>
      <c r="B68" s="202"/>
      <c r="D68" s="274"/>
      <c r="E68" s="274" t="e">
        <f>+'[1]assmt WC'!G12</f>
        <v>#REF!</v>
      </c>
      <c r="F68" s="274" t="e">
        <f>+'[1]assmt WC'!H12</f>
        <v>#REF!</v>
      </c>
      <c r="G68" s="274" t="e">
        <f>+'[1]assmt WC'!I12</f>
        <v>#REF!</v>
      </c>
      <c r="H68" s="274"/>
      <c r="I68" s="274"/>
    </row>
    <row r="69" spans="1:9" hidden="1" x14ac:dyDescent="0.2">
      <c r="A69" s="285" t="s">
        <v>24</v>
      </c>
      <c r="B69" s="285"/>
      <c r="C69" s="286"/>
      <c r="D69" s="287"/>
      <c r="E69" s="287" t="e">
        <f t="shared" ref="E69:G69" si="5">E68/E67</f>
        <v>#REF!</v>
      </c>
      <c r="F69" s="287" t="e">
        <f t="shared" si="5"/>
        <v>#REF!</v>
      </c>
      <c r="G69" s="287" t="e">
        <f t="shared" si="5"/>
        <v>#REF!</v>
      </c>
      <c r="H69" s="287"/>
      <c r="I69" s="287"/>
    </row>
    <row r="70" spans="1:9" hidden="1" x14ac:dyDescent="0.2">
      <c r="A70" s="202"/>
      <c r="B70" s="202"/>
      <c r="D70" s="274"/>
      <c r="E70" s="274"/>
      <c r="F70" s="274"/>
      <c r="G70" s="274"/>
      <c r="H70" s="274"/>
      <c r="I70" s="274"/>
    </row>
    <row r="71" spans="1:9" hidden="1" x14ac:dyDescent="0.2">
      <c r="A71" s="202" t="s">
        <v>28</v>
      </c>
      <c r="B71" s="202"/>
      <c r="D71" s="274"/>
      <c r="E71" s="274">
        <f>IF(E62&gt;0,(E59+#REF!)/(E62+#REF!),0)</f>
        <v>0</v>
      </c>
      <c r="F71" s="274">
        <f>IF(F62&gt;0,(F59+#REF!)/(F62+#REF!),0)</f>
        <v>0</v>
      </c>
      <c r="G71" s="274">
        <f>IF(G62&gt;0,(G59+#REF!)/(G62+#REF!),0)</f>
        <v>0</v>
      </c>
      <c r="H71" s="274"/>
      <c r="I71" s="274"/>
    </row>
    <row r="72" spans="1:9" hidden="1" x14ac:dyDescent="0.2">
      <c r="A72" s="202"/>
      <c r="B72" s="202"/>
      <c r="D72" s="274"/>
      <c r="E72" s="274"/>
      <c r="F72" s="274"/>
      <c r="G72" s="274"/>
      <c r="H72" s="274"/>
      <c r="I72" s="274"/>
    </row>
    <row r="73" spans="1:9" hidden="1" x14ac:dyDescent="0.2">
      <c r="A73" s="202"/>
      <c r="B73" s="202"/>
      <c r="D73" s="274"/>
      <c r="E73" s="274"/>
      <c r="F73" s="274"/>
      <c r="G73" s="274"/>
      <c r="H73" s="274"/>
      <c r="I73" s="274"/>
    </row>
    <row r="74" spans="1:9" hidden="1" x14ac:dyDescent="0.2">
      <c r="A74" s="203"/>
      <c r="B74" s="203"/>
      <c r="D74" s="203"/>
      <c r="E74" s="203"/>
      <c r="F74" s="203"/>
      <c r="G74" s="203"/>
      <c r="H74" s="203"/>
      <c r="I74" s="203"/>
    </row>
    <row r="75" spans="1:9" hidden="1" x14ac:dyDescent="0.2">
      <c r="A75" s="288" t="e">
        <f>+#REF!</f>
        <v>#REF!</v>
      </c>
      <c r="B75" s="288"/>
      <c r="C75" s="289"/>
      <c r="D75" s="290"/>
      <c r="E75" s="290"/>
      <c r="F75" s="290"/>
      <c r="G75" s="290"/>
      <c r="H75" s="290"/>
      <c r="I75" s="290"/>
    </row>
    <row r="76" spans="1:9" hidden="1" x14ac:dyDescent="0.2">
      <c r="A76" s="291"/>
      <c r="B76" s="291"/>
      <c r="C76" s="289"/>
      <c r="D76" s="290"/>
      <c r="E76" s="290"/>
      <c r="F76" s="290"/>
      <c r="G76" s="290"/>
      <c r="H76" s="290"/>
      <c r="I76" s="290"/>
    </row>
    <row r="77" spans="1:9" hidden="1" x14ac:dyDescent="0.2">
      <c r="A77" s="291" t="s">
        <v>47</v>
      </c>
      <c r="B77" s="291"/>
      <c r="C77" s="289"/>
      <c r="D77" s="290"/>
      <c r="E77" s="290"/>
      <c r="F77" s="290"/>
      <c r="G77" s="290"/>
      <c r="H77" s="290"/>
      <c r="I77" s="290"/>
    </row>
    <row r="78" spans="1:9" hidden="1" x14ac:dyDescent="0.2">
      <c r="A78" s="291"/>
      <c r="B78" s="291"/>
      <c r="C78" s="289"/>
      <c r="D78" s="290"/>
      <c r="E78" s="290"/>
      <c r="F78" s="290"/>
      <c r="G78" s="290"/>
      <c r="H78" s="290"/>
      <c r="I78" s="290"/>
    </row>
    <row r="79" spans="1:9" hidden="1" x14ac:dyDescent="0.2">
      <c r="A79" s="292"/>
      <c r="B79" s="290"/>
      <c r="C79" s="290"/>
      <c r="D79" s="293" t="s">
        <v>71</v>
      </c>
      <c r="E79" s="294" t="s">
        <v>3</v>
      </c>
      <c r="F79" s="294" t="s">
        <v>3</v>
      </c>
      <c r="G79" s="294" t="s">
        <v>3</v>
      </c>
      <c r="H79" s="294" t="s">
        <v>3</v>
      </c>
      <c r="I79" s="294" t="s">
        <v>3</v>
      </c>
    </row>
    <row r="80" spans="1:9" s="204" customFormat="1" hidden="1" x14ac:dyDescent="0.2">
      <c r="A80" s="295" t="s">
        <v>0</v>
      </c>
      <c r="B80" s="296"/>
      <c r="C80" s="297" t="s">
        <v>4</v>
      </c>
      <c r="D80" s="298"/>
      <c r="E80" s="299"/>
      <c r="F80" s="298"/>
      <c r="G80" s="298"/>
      <c r="H80" s="298"/>
      <c r="I80" s="298"/>
    </row>
    <row r="81" spans="1:18" hidden="1" x14ac:dyDescent="0.2">
      <c r="A81" s="300"/>
      <c r="B81" s="301"/>
      <c r="C81" s="302">
        <v>43190</v>
      </c>
      <c r="D81" s="303" t="s">
        <v>64</v>
      </c>
      <c r="E81" s="304" t="str">
        <f>E7</f>
        <v>Year I</v>
      </c>
      <c r="F81" s="304" t="str">
        <f>F7</f>
        <v>Year II</v>
      </c>
      <c r="G81" s="304" t="str">
        <f>G7</f>
        <v>Year III</v>
      </c>
      <c r="H81" s="304" t="str">
        <f>H7</f>
        <v>Year IV</v>
      </c>
      <c r="I81" s="304" t="str">
        <f>I7</f>
        <v>Year V</v>
      </c>
    </row>
    <row r="82" spans="1:18" hidden="1" x14ac:dyDescent="0.2">
      <c r="A82" s="305"/>
      <c r="B82" s="291"/>
      <c r="C82" s="306"/>
      <c r="D82" s="307"/>
      <c r="E82" s="308"/>
      <c r="F82" s="307"/>
      <c r="G82" s="307"/>
      <c r="H82" s="307"/>
      <c r="I82" s="307"/>
    </row>
    <row r="83" spans="1:18" hidden="1" x14ac:dyDescent="0.2">
      <c r="A83" s="305" t="s">
        <v>62</v>
      </c>
      <c r="B83" s="291"/>
      <c r="C83" s="309"/>
      <c r="D83" s="310"/>
      <c r="E83" s="311"/>
      <c r="F83" s="310"/>
      <c r="G83" s="310"/>
      <c r="H83" s="310"/>
      <c r="I83" s="310"/>
    </row>
    <row r="84" spans="1:18" hidden="1" x14ac:dyDescent="0.2">
      <c r="A84" s="305"/>
      <c r="B84" s="291"/>
      <c r="C84" s="309"/>
      <c r="D84" s="310"/>
      <c r="E84" s="311"/>
      <c r="F84" s="310"/>
      <c r="G84" s="310"/>
      <c r="H84" s="310"/>
      <c r="I84" s="310"/>
    </row>
    <row r="85" spans="1:18" hidden="1" x14ac:dyDescent="0.2">
      <c r="A85" s="305" t="s">
        <v>63</v>
      </c>
      <c r="B85" s="291"/>
      <c r="C85" s="309"/>
      <c r="D85" s="312"/>
      <c r="E85" s="311"/>
      <c r="F85" s="310"/>
      <c r="G85" s="312"/>
      <c r="H85" s="312"/>
      <c r="I85" s="312"/>
    </row>
    <row r="86" spans="1:18" hidden="1" x14ac:dyDescent="0.2">
      <c r="A86" s="305" t="s">
        <v>48</v>
      </c>
      <c r="B86" s="291"/>
      <c r="C86" s="306" t="s">
        <v>57</v>
      </c>
      <c r="D86" s="313">
        <v>0</v>
      </c>
      <c r="E86" s="313" t="e">
        <f>+#REF!</f>
        <v>#REF!</v>
      </c>
      <c r="F86" s="313" t="e">
        <f>E91</f>
        <v>#REF!</v>
      </c>
      <c r="G86" s="313" t="e">
        <f>F91</f>
        <v>#REF!</v>
      </c>
      <c r="H86" s="313" t="e">
        <f t="shared" ref="H86:I86" si="6">G91</f>
        <v>#REF!</v>
      </c>
      <c r="I86" s="313" t="e">
        <f t="shared" si="6"/>
        <v>#REF!</v>
      </c>
      <c r="J86" s="274"/>
    </row>
    <row r="87" spans="1:18" hidden="1" x14ac:dyDescent="0.2">
      <c r="A87" s="314" t="s">
        <v>49</v>
      </c>
      <c r="B87" s="291"/>
      <c r="C87" s="302"/>
      <c r="D87" s="315" t="e">
        <f>+#REF!</f>
        <v>#REF!</v>
      </c>
      <c r="E87" s="315" t="e">
        <f>+#REF!</f>
        <v>#REF!</v>
      </c>
      <c r="F87" s="315"/>
      <c r="G87" s="315"/>
      <c r="H87" s="315"/>
      <c r="I87" s="315"/>
    </row>
    <row r="88" spans="1:18" hidden="1" x14ac:dyDescent="0.2">
      <c r="A88" s="316" t="s">
        <v>50</v>
      </c>
      <c r="B88" s="291"/>
      <c r="C88" s="309"/>
      <c r="D88" s="317" t="e">
        <f>SUM(D86:D87)</f>
        <v>#REF!</v>
      </c>
      <c r="E88" s="317" t="e">
        <f t="shared" ref="E88:I88" si="7">SUM(E86:E87)</f>
        <v>#REF!</v>
      </c>
      <c r="F88" s="317" t="e">
        <f t="shared" si="7"/>
        <v>#REF!</v>
      </c>
      <c r="G88" s="317" t="e">
        <f t="shared" si="7"/>
        <v>#REF!</v>
      </c>
      <c r="H88" s="317" t="e">
        <f t="shared" si="7"/>
        <v>#REF!</v>
      </c>
      <c r="I88" s="317" t="e">
        <f t="shared" si="7"/>
        <v>#REF!</v>
      </c>
      <c r="J88" s="276"/>
    </row>
    <row r="89" spans="1:18" hidden="1" x14ac:dyDescent="0.2">
      <c r="A89" s="314" t="s">
        <v>52</v>
      </c>
      <c r="B89" s="291"/>
      <c r="C89" s="309"/>
      <c r="D89" s="317" t="e">
        <f>+#REF!</f>
        <v>#REF!</v>
      </c>
      <c r="E89" s="317" t="e">
        <f>+#REF!</f>
        <v>#REF!</v>
      </c>
      <c r="F89" s="317" t="e">
        <f>+#REF!</f>
        <v>#REF!</v>
      </c>
      <c r="G89" s="317" t="e">
        <f>+#REF!</f>
        <v>#REF!</v>
      </c>
      <c r="H89" s="317" t="e">
        <f>+#REF!</f>
        <v>#REF!</v>
      </c>
      <c r="I89" s="317" t="e">
        <f>+#REF!</f>
        <v>#REF!</v>
      </c>
      <c r="J89" s="276"/>
    </row>
    <row r="90" spans="1:18" hidden="1" x14ac:dyDescent="0.2">
      <c r="A90" s="314"/>
      <c r="B90" s="291"/>
      <c r="C90" s="309"/>
      <c r="D90" s="317"/>
      <c r="E90" s="318"/>
      <c r="F90" s="317"/>
      <c r="G90" s="317"/>
      <c r="H90" s="317"/>
      <c r="I90" s="317"/>
    </row>
    <row r="91" spans="1:18" ht="10.8" hidden="1" thickBot="1" x14ac:dyDescent="0.25">
      <c r="A91" s="314" t="s">
        <v>51</v>
      </c>
      <c r="B91" s="291"/>
      <c r="C91" s="319"/>
      <c r="D91" s="320" t="e">
        <f>D88-D89</f>
        <v>#REF!</v>
      </c>
      <c r="E91" s="320" t="e">
        <f t="shared" ref="E91:I91" si="8">E88-E89</f>
        <v>#REF!</v>
      </c>
      <c r="F91" s="320" t="e">
        <f t="shared" si="8"/>
        <v>#REF!</v>
      </c>
      <c r="G91" s="320" t="e">
        <f t="shared" si="8"/>
        <v>#REF!</v>
      </c>
      <c r="H91" s="320" t="e">
        <f t="shared" si="8"/>
        <v>#REF!</v>
      </c>
      <c r="I91" s="320" t="e">
        <f t="shared" si="8"/>
        <v>#REF!</v>
      </c>
      <c r="J91" s="276"/>
      <c r="M91" s="321"/>
      <c r="N91" s="274"/>
      <c r="O91" s="322"/>
      <c r="P91" s="323"/>
      <c r="Q91" s="322"/>
      <c r="R91" s="322"/>
    </row>
    <row r="92" spans="1:18" ht="10.8" hidden="1" thickTop="1" x14ac:dyDescent="0.2">
      <c r="A92" s="305"/>
      <c r="B92" s="291"/>
      <c r="C92" s="309"/>
      <c r="D92" s="324"/>
      <c r="E92" s="324"/>
      <c r="F92" s="324"/>
      <c r="G92" s="324"/>
      <c r="H92" s="324"/>
      <c r="I92" s="324"/>
      <c r="M92" s="321"/>
      <c r="N92" s="322"/>
      <c r="O92" s="322"/>
      <c r="P92" s="323"/>
      <c r="Q92" s="322"/>
      <c r="R92" s="322"/>
    </row>
    <row r="93" spans="1:18" hidden="1" x14ac:dyDescent="0.2">
      <c r="A93" s="314" t="s">
        <v>157</v>
      </c>
      <c r="B93" s="325"/>
      <c r="C93" s="326"/>
      <c r="D93" s="327" t="e">
        <f>+#REF!</f>
        <v>#REF!</v>
      </c>
      <c r="E93" s="327" t="e">
        <f>+#REF!+#REF!*11%</f>
        <v>#REF!</v>
      </c>
      <c r="F93" s="327" t="e">
        <f>+#REF!+#REF!*11%</f>
        <v>#REF!</v>
      </c>
      <c r="G93" s="327" t="e">
        <f>+#REF!+#REF!*11%</f>
        <v>#REF!</v>
      </c>
      <c r="H93" s="327" t="e">
        <f>+#REF!+#REF!*11%</f>
        <v>#REF!</v>
      </c>
      <c r="I93" s="327" t="e">
        <f>+#REF!+#REF!*11%</f>
        <v>#REF!</v>
      </c>
      <c r="J93" s="328"/>
      <c r="M93" s="321"/>
      <c r="N93" s="322"/>
      <c r="O93" s="322"/>
      <c r="P93" s="323"/>
      <c r="Q93" s="322"/>
      <c r="R93" s="322"/>
    </row>
    <row r="94" spans="1:18" hidden="1" x14ac:dyDescent="0.2">
      <c r="A94" s="305" t="s">
        <v>113</v>
      </c>
      <c r="B94" s="291"/>
      <c r="C94" s="309"/>
      <c r="D94" s="312"/>
      <c r="E94" s="311"/>
      <c r="F94" s="310"/>
      <c r="G94" s="312"/>
      <c r="H94" s="312"/>
      <c r="I94" s="312"/>
      <c r="J94" s="328"/>
      <c r="M94" s="321"/>
      <c r="N94" s="322"/>
      <c r="O94" s="322"/>
      <c r="P94" s="323"/>
      <c r="Q94" s="322"/>
      <c r="R94" s="322"/>
    </row>
    <row r="95" spans="1:18" hidden="1" x14ac:dyDescent="0.2">
      <c r="A95" s="305" t="s">
        <v>48</v>
      </c>
      <c r="B95" s="291"/>
      <c r="C95" s="306" t="s">
        <v>57</v>
      </c>
      <c r="D95" s="313" t="e">
        <f>+#REF!</f>
        <v>#REF!</v>
      </c>
      <c r="E95" s="313">
        <f>D100</f>
        <v>403501.05</v>
      </c>
      <c r="F95" s="313">
        <f t="shared" ref="F95:I95" si="9">E100</f>
        <v>308126.94500000001</v>
      </c>
      <c r="G95" s="313">
        <f>F100</f>
        <v>207088.78049999999</v>
      </c>
      <c r="H95" s="313">
        <f t="shared" si="9"/>
        <v>116280.15545000002</v>
      </c>
      <c r="I95" s="313">
        <f t="shared" si="9"/>
        <v>21318.478905000025</v>
      </c>
      <c r="J95" s="328"/>
      <c r="M95" s="321"/>
      <c r="N95" s="322"/>
      <c r="O95" s="322"/>
      <c r="P95" s="323"/>
      <c r="Q95" s="322"/>
      <c r="R95" s="322"/>
    </row>
    <row r="96" spans="1:18" hidden="1" x14ac:dyDescent="0.2">
      <c r="A96" s="314" t="s">
        <v>49</v>
      </c>
      <c r="B96" s="291"/>
      <c r="C96" s="302"/>
      <c r="D96" s="315" t="e">
        <f>+#REF!*75%</f>
        <v>#REF!</v>
      </c>
      <c r="E96" s="315">
        <v>0</v>
      </c>
      <c r="F96" s="315"/>
      <c r="G96" s="315"/>
      <c r="H96" s="315"/>
      <c r="I96" s="315"/>
      <c r="J96" s="328"/>
      <c r="M96" s="321"/>
      <c r="N96" s="322"/>
      <c r="O96" s="322"/>
      <c r="P96" s="323"/>
      <c r="Q96" s="322"/>
      <c r="R96" s="322"/>
    </row>
    <row r="97" spans="1:18" hidden="1" x14ac:dyDescent="0.2">
      <c r="A97" s="316" t="s">
        <v>50</v>
      </c>
      <c r="B97" s="291"/>
      <c r="C97" s="309"/>
      <c r="D97" s="317" t="e">
        <f>SUM(D95:D96)</f>
        <v>#REF!</v>
      </c>
      <c r="E97" s="317">
        <f t="shared" ref="E97:I97" si="10">SUM(E95:E96)</f>
        <v>403501.05</v>
      </c>
      <c r="F97" s="317">
        <f t="shared" si="10"/>
        <v>308126.94500000001</v>
      </c>
      <c r="G97" s="317">
        <f t="shared" si="10"/>
        <v>207088.78049999999</v>
      </c>
      <c r="H97" s="317">
        <f t="shared" si="10"/>
        <v>116280.15545000002</v>
      </c>
      <c r="I97" s="317">
        <f t="shared" si="10"/>
        <v>21318.478905000025</v>
      </c>
      <c r="J97" s="328"/>
      <c r="M97" s="321"/>
      <c r="N97" s="322"/>
      <c r="O97" s="322"/>
      <c r="P97" s="323"/>
      <c r="Q97" s="322"/>
      <c r="R97" s="322"/>
    </row>
    <row r="98" spans="1:18" hidden="1" x14ac:dyDescent="0.2">
      <c r="A98" s="314" t="s">
        <v>52</v>
      </c>
      <c r="B98" s="291"/>
      <c r="C98" s="309"/>
      <c r="D98" s="317" t="e">
        <f>D97-D100</f>
        <v>#REF!</v>
      </c>
      <c r="E98" s="317">
        <f>E97-E100</f>
        <v>95374.104999999981</v>
      </c>
      <c r="F98" s="317">
        <f t="shared" ref="F98:I98" si="11">F97-F100</f>
        <v>101038.16450000001</v>
      </c>
      <c r="G98" s="317">
        <f t="shared" si="11"/>
        <v>90808.625049999973</v>
      </c>
      <c r="H98" s="317">
        <f t="shared" si="11"/>
        <v>94961.676544999995</v>
      </c>
      <c r="I98" s="317">
        <f t="shared" si="11"/>
        <v>21318.478905000025</v>
      </c>
      <c r="J98" s="328"/>
      <c r="M98" s="321"/>
      <c r="N98" s="322"/>
      <c r="O98" s="322"/>
      <c r="P98" s="323"/>
      <c r="Q98" s="322"/>
      <c r="R98" s="322"/>
    </row>
    <row r="99" spans="1:18" hidden="1" x14ac:dyDescent="0.2">
      <c r="A99" s="314"/>
      <c r="B99" s="291"/>
      <c r="C99" s="309"/>
      <c r="D99" s="317"/>
      <c r="E99" s="318"/>
      <c r="F99" s="317"/>
      <c r="G99" s="317"/>
      <c r="H99" s="317"/>
      <c r="I99" s="317"/>
      <c r="J99" s="328"/>
      <c r="M99" s="321"/>
      <c r="N99" s="322"/>
      <c r="O99" s="322"/>
      <c r="P99" s="323"/>
      <c r="Q99" s="322"/>
      <c r="R99" s="322"/>
    </row>
    <row r="100" spans="1:18" ht="10.8" hidden="1" thickBot="1" x14ac:dyDescent="0.25">
      <c r="A100" s="314" t="s">
        <v>51</v>
      </c>
      <c r="B100" s="291"/>
      <c r="C100" s="319"/>
      <c r="D100" s="320">
        <v>403501.05</v>
      </c>
      <c r="E100" s="320">
        <v>308126.94500000001</v>
      </c>
      <c r="F100" s="320">
        <v>207088.78049999999</v>
      </c>
      <c r="G100" s="320">
        <v>116280.15545000002</v>
      </c>
      <c r="H100" s="320">
        <v>21318.478905000025</v>
      </c>
      <c r="I100" s="320">
        <v>0</v>
      </c>
      <c r="J100" s="328"/>
      <c r="M100" s="321"/>
      <c r="N100" s="322"/>
      <c r="O100" s="322"/>
      <c r="P100" s="323"/>
      <c r="Q100" s="322"/>
      <c r="R100" s="322"/>
    </row>
    <row r="101" spans="1:18" hidden="1" x14ac:dyDescent="0.2">
      <c r="A101" s="305"/>
      <c r="B101" s="291"/>
      <c r="C101" s="309"/>
      <c r="D101" s="324"/>
      <c r="E101" s="324"/>
      <c r="F101" s="324"/>
      <c r="G101" s="324"/>
      <c r="H101" s="324"/>
      <c r="I101" s="324"/>
      <c r="J101" s="328"/>
      <c r="M101" s="321"/>
      <c r="N101" s="322"/>
      <c r="O101" s="322"/>
      <c r="P101" s="323"/>
      <c r="Q101" s="322"/>
      <c r="R101" s="322"/>
    </row>
    <row r="102" spans="1:18" hidden="1" x14ac:dyDescent="0.2">
      <c r="A102" s="314" t="s">
        <v>109</v>
      </c>
      <c r="B102" s="325"/>
      <c r="C102" s="326"/>
      <c r="D102" s="327">
        <f>D100*10.5%</f>
        <v>42367.610249999998</v>
      </c>
      <c r="E102" s="327">
        <f t="shared" ref="E102:H102" si="12">E100*10.5%</f>
        <v>32353.329225000001</v>
      </c>
      <c r="F102" s="327">
        <f t="shared" si="12"/>
        <v>21744.321952499999</v>
      </c>
      <c r="G102" s="327">
        <f t="shared" si="12"/>
        <v>12209.416322250001</v>
      </c>
      <c r="H102" s="327">
        <f t="shared" si="12"/>
        <v>2238.4402850250026</v>
      </c>
      <c r="I102" s="327">
        <v>0</v>
      </c>
      <c r="J102" s="328"/>
      <c r="M102" s="321"/>
      <c r="N102" s="322"/>
      <c r="O102" s="322"/>
      <c r="P102" s="323"/>
      <c r="Q102" s="322"/>
      <c r="R102" s="322"/>
    </row>
    <row r="103" spans="1:18" hidden="1" x14ac:dyDescent="0.2">
      <c r="A103" s="314"/>
      <c r="B103" s="325"/>
      <c r="C103" s="326"/>
      <c r="D103" s="327"/>
      <c r="E103" s="327"/>
      <c r="F103" s="327"/>
      <c r="G103" s="327"/>
      <c r="H103" s="327"/>
      <c r="I103" s="327"/>
      <c r="J103" s="328"/>
      <c r="M103" s="321"/>
      <c r="N103" s="322"/>
      <c r="O103" s="322"/>
      <c r="P103" s="323"/>
      <c r="Q103" s="322"/>
      <c r="R103" s="322"/>
    </row>
    <row r="104" spans="1:18" hidden="1" x14ac:dyDescent="0.2">
      <c r="A104" s="314"/>
      <c r="B104" s="325"/>
      <c r="C104" s="326"/>
      <c r="D104" s="327"/>
      <c r="E104" s="327"/>
      <c r="F104" s="327"/>
      <c r="G104" s="327"/>
      <c r="H104" s="327"/>
      <c r="I104" s="327"/>
      <c r="J104" s="328"/>
      <c r="M104" s="321"/>
      <c r="N104" s="322"/>
      <c r="O104" s="322"/>
      <c r="P104" s="323"/>
      <c r="Q104" s="322"/>
      <c r="R104" s="322"/>
    </row>
    <row r="105" spans="1:18" hidden="1" x14ac:dyDescent="0.2">
      <c r="A105" s="300"/>
      <c r="B105" s="301"/>
      <c r="C105" s="302"/>
      <c r="D105" s="329"/>
      <c r="E105" s="329"/>
      <c r="F105" s="329"/>
      <c r="G105" s="329"/>
      <c r="H105" s="329"/>
      <c r="I105" s="329"/>
      <c r="M105" s="321"/>
      <c r="N105" s="322"/>
      <c r="O105" s="322"/>
      <c r="P105" s="323"/>
      <c r="Q105" s="322"/>
      <c r="R105" s="322"/>
    </row>
    <row r="106" spans="1:18" hidden="1" x14ac:dyDescent="0.2">
      <c r="A106" s="305" t="s">
        <v>66</v>
      </c>
      <c r="B106" s="325"/>
      <c r="C106" s="330">
        <v>0</v>
      </c>
      <c r="D106" s="318" t="e">
        <f>D89</f>
        <v>#REF!</v>
      </c>
      <c r="E106" s="318" t="e">
        <f t="shared" ref="E106:I106" si="13">E89</f>
        <v>#REF!</v>
      </c>
      <c r="F106" s="318" t="e">
        <f t="shared" si="13"/>
        <v>#REF!</v>
      </c>
      <c r="G106" s="318" t="e">
        <f t="shared" si="13"/>
        <v>#REF!</v>
      </c>
      <c r="H106" s="318" t="e">
        <f t="shared" si="13"/>
        <v>#REF!</v>
      </c>
      <c r="I106" s="318" t="e">
        <f t="shared" si="13"/>
        <v>#REF!</v>
      </c>
      <c r="J106" s="274"/>
      <c r="M106" s="321"/>
      <c r="N106" s="322"/>
      <c r="O106" s="322"/>
      <c r="P106" s="323"/>
      <c r="Q106" s="322"/>
      <c r="R106" s="322"/>
    </row>
    <row r="107" spans="1:18" ht="10.8" hidden="1" thickBot="1" x14ac:dyDescent="0.25">
      <c r="A107" s="331" t="s">
        <v>67</v>
      </c>
      <c r="B107" s="332"/>
      <c r="C107" s="333">
        <v>0</v>
      </c>
      <c r="D107" s="334" t="e">
        <f>D93</f>
        <v>#REF!</v>
      </c>
      <c r="E107" s="334" t="e">
        <f>E93</f>
        <v>#REF!</v>
      </c>
      <c r="F107" s="334" t="e">
        <f t="shared" ref="F107:I107" si="14">F93</f>
        <v>#REF!</v>
      </c>
      <c r="G107" s="334" t="e">
        <f t="shared" si="14"/>
        <v>#REF!</v>
      </c>
      <c r="H107" s="334" t="e">
        <f t="shared" si="14"/>
        <v>#REF!</v>
      </c>
      <c r="I107" s="334" t="e">
        <f t="shared" si="14"/>
        <v>#REF!</v>
      </c>
      <c r="J107" s="274"/>
      <c r="M107" s="321"/>
      <c r="N107" s="322"/>
      <c r="O107" s="322"/>
      <c r="P107" s="323"/>
      <c r="Q107" s="322"/>
      <c r="R107" s="322"/>
    </row>
    <row r="108" spans="1:18" ht="10.8" hidden="1" thickTop="1" x14ac:dyDescent="0.2">
      <c r="A108" s="305"/>
      <c r="B108" s="290"/>
      <c r="C108" s="335"/>
      <c r="D108" s="330"/>
      <c r="E108" s="335"/>
      <c r="F108" s="335"/>
      <c r="G108" s="335"/>
      <c r="H108" s="335"/>
      <c r="I108" s="336"/>
      <c r="J108" s="274"/>
      <c r="M108" s="321"/>
      <c r="N108" s="322"/>
      <c r="O108" s="322"/>
      <c r="P108" s="323"/>
      <c r="Q108" s="322"/>
      <c r="R108" s="322"/>
    </row>
    <row r="109" spans="1:18" hidden="1" x14ac:dyDescent="0.2">
      <c r="A109" s="337" t="s">
        <v>75</v>
      </c>
      <c r="B109" s="289"/>
      <c r="C109" s="289"/>
      <c r="D109" s="338"/>
      <c r="E109" s="339"/>
      <c r="F109" s="289"/>
      <c r="G109" s="289"/>
      <c r="H109" s="289"/>
      <c r="I109" s="340"/>
      <c r="M109" s="321"/>
      <c r="N109" s="322"/>
      <c r="O109" s="322"/>
      <c r="P109" s="323"/>
      <c r="Q109" s="322"/>
      <c r="R109" s="322"/>
    </row>
    <row r="110" spans="1:18" hidden="1" x14ac:dyDescent="0.2">
      <c r="A110" s="341" t="s">
        <v>76</v>
      </c>
      <c r="B110" s="342"/>
      <c r="C110" s="343"/>
      <c r="D110" s="344" t="e">
        <f>(+D44+#REF!+D42)/(D89+D93)</f>
        <v>#REF!</v>
      </c>
      <c r="E110" s="344" t="e">
        <f>(+E44+#REF!+E42)/(E89+E93)</f>
        <v>#REF!</v>
      </c>
      <c r="F110" s="344" t="e">
        <f>(+F44+#REF!+F42)/(F89+F93)</f>
        <v>#REF!</v>
      </c>
      <c r="G110" s="344" t="e">
        <f>(+G44+#REF!+G42)/(G89+G93)</f>
        <v>#REF!</v>
      </c>
      <c r="H110" s="344" t="e">
        <f>(+H44+#REF!+H42)/(H89+H93)</f>
        <v>#REF!</v>
      </c>
      <c r="I110" s="344" t="e">
        <f>(+I44+#REF!+I42)/(I89+I93)</f>
        <v>#REF!</v>
      </c>
      <c r="M110" s="321"/>
      <c r="N110" s="322"/>
      <c r="O110" s="322"/>
      <c r="P110" s="323"/>
      <c r="Q110" s="322"/>
      <c r="R110" s="322"/>
    </row>
    <row r="111" spans="1:18" hidden="1" x14ac:dyDescent="0.2">
      <c r="A111" s="300" t="s">
        <v>115</v>
      </c>
      <c r="B111" s="290"/>
      <c r="C111" s="289"/>
      <c r="D111" s="635" t="e">
        <f>AVERAGE(E110:I110)</f>
        <v>#REF!</v>
      </c>
      <c r="E111" s="636"/>
      <c r="F111" s="636"/>
      <c r="G111" s="636"/>
      <c r="H111" s="636"/>
      <c r="I111" s="637"/>
      <c r="M111" s="321"/>
      <c r="N111" s="322"/>
      <c r="O111" s="322"/>
      <c r="P111" s="323"/>
      <c r="Q111" s="322"/>
      <c r="R111" s="322"/>
    </row>
    <row r="112" spans="1:18" hidden="1" x14ac:dyDescent="0.2">
      <c r="A112" s="290"/>
      <c r="B112" s="290"/>
      <c r="C112" s="289"/>
      <c r="D112" s="339"/>
      <c r="E112" s="339"/>
      <c r="F112" s="289"/>
      <c r="G112" s="289"/>
      <c r="H112" s="289"/>
      <c r="I112" s="289"/>
      <c r="M112" s="321"/>
      <c r="N112" s="322"/>
      <c r="O112" s="322"/>
      <c r="P112" s="323"/>
      <c r="Q112" s="322"/>
      <c r="R112" s="322"/>
    </row>
    <row r="113" spans="1:18" hidden="1" x14ac:dyDescent="0.2">
      <c r="A113" s="295" t="s">
        <v>39</v>
      </c>
      <c r="B113" s="292"/>
      <c r="C113" s="345" t="s">
        <v>4</v>
      </c>
      <c r="D113" s="346" t="s">
        <v>4</v>
      </c>
      <c r="E113" s="346" t="s">
        <v>4</v>
      </c>
      <c r="F113" s="346" t="s">
        <v>4</v>
      </c>
      <c r="G113" s="346" t="s">
        <v>4</v>
      </c>
      <c r="H113" s="346" t="s">
        <v>4</v>
      </c>
      <c r="I113" s="346" t="s">
        <v>4</v>
      </c>
      <c r="M113" s="321"/>
      <c r="N113" s="322"/>
      <c r="O113" s="322"/>
      <c r="P113" s="323"/>
      <c r="Q113" s="322"/>
      <c r="R113" s="322"/>
    </row>
    <row r="114" spans="1:18" hidden="1" x14ac:dyDescent="0.2">
      <c r="A114" s="347"/>
      <c r="B114" s="314"/>
      <c r="C114" s="348" t="s">
        <v>58</v>
      </c>
      <c r="D114" s="303" t="s">
        <v>64</v>
      </c>
      <c r="E114" s="303" t="s">
        <v>88</v>
      </c>
      <c r="F114" s="304" t="s">
        <v>89</v>
      </c>
      <c r="G114" s="304" t="s">
        <v>90</v>
      </c>
      <c r="H114" s="304" t="s">
        <v>91</v>
      </c>
      <c r="I114" s="304" t="s">
        <v>92</v>
      </c>
      <c r="M114" s="321"/>
      <c r="N114" s="322"/>
      <c r="O114" s="322"/>
      <c r="P114" s="323"/>
      <c r="Q114" s="322"/>
      <c r="R114" s="322"/>
    </row>
    <row r="115" spans="1:18" hidden="1" x14ac:dyDescent="0.2">
      <c r="A115" s="349"/>
      <c r="B115" s="292"/>
      <c r="C115" s="350"/>
      <c r="D115" s="351"/>
      <c r="E115" s="351"/>
      <c r="F115" s="351"/>
      <c r="G115" s="351"/>
      <c r="H115" s="351"/>
      <c r="I115" s="351"/>
      <c r="M115" s="321"/>
      <c r="N115" s="322"/>
      <c r="O115" s="322"/>
      <c r="P115" s="323"/>
      <c r="Q115" s="322"/>
      <c r="R115" s="322"/>
    </row>
    <row r="116" spans="1:18" ht="23.25" hidden="1" customHeight="1" x14ac:dyDescent="0.2">
      <c r="A116" s="352" t="s">
        <v>72</v>
      </c>
      <c r="B116" s="353">
        <v>0.1</v>
      </c>
      <c r="C116" s="354">
        <f>40000*B116/100000</f>
        <v>0.04</v>
      </c>
      <c r="D116" s="355" t="e">
        <f t="shared" ref="D116:I116" si="15">D44*30%</f>
        <v>#REF!</v>
      </c>
      <c r="E116" s="355">
        <f t="shared" si="15"/>
        <v>-652739.19663438585</v>
      </c>
      <c r="F116" s="355">
        <f t="shared" si="15"/>
        <v>-25789.706642792535</v>
      </c>
      <c r="G116" s="355">
        <f t="shared" si="15"/>
        <v>507010.23871730658</v>
      </c>
      <c r="H116" s="355">
        <f t="shared" si="15"/>
        <v>607807.22701433499</v>
      </c>
      <c r="I116" s="355">
        <f t="shared" si="15"/>
        <v>931451.31159932516</v>
      </c>
      <c r="M116" s="321"/>
      <c r="N116" s="322"/>
      <c r="O116" s="322"/>
      <c r="P116" s="323"/>
      <c r="Q116" s="322"/>
      <c r="R116" s="322"/>
    </row>
    <row r="117" spans="1:18" ht="24.75" hidden="1" customHeight="1" x14ac:dyDescent="0.2">
      <c r="A117" s="352" t="s">
        <v>73</v>
      </c>
      <c r="B117" s="353">
        <v>0.2</v>
      </c>
      <c r="C117" s="354">
        <f>100000*B117/100000</f>
        <v>0.2</v>
      </c>
      <c r="D117" s="355">
        <v>0</v>
      </c>
      <c r="E117" s="355">
        <v>0</v>
      </c>
      <c r="F117" s="355">
        <v>0</v>
      </c>
      <c r="G117" s="355">
        <v>0</v>
      </c>
      <c r="H117" s="355">
        <v>0</v>
      </c>
      <c r="I117" s="355">
        <v>0</v>
      </c>
      <c r="M117" s="321"/>
      <c r="N117" s="322"/>
      <c r="O117" s="322"/>
      <c r="P117" s="323"/>
      <c r="Q117" s="322"/>
      <c r="R117" s="322"/>
    </row>
    <row r="118" spans="1:18" ht="23.25" hidden="1" customHeight="1" x14ac:dyDescent="0.2">
      <c r="A118" s="349" t="s">
        <v>74</v>
      </c>
      <c r="B118" s="353">
        <v>0.3</v>
      </c>
      <c r="C118" s="354"/>
      <c r="D118" s="355">
        <v>0</v>
      </c>
      <c r="E118" s="355">
        <v>0</v>
      </c>
      <c r="F118" s="355">
        <v>0</v>
      </c>
      <c r="G118" s="355">
        <v>0</v>
      </c>
      <c r="H118" s="355">
        <v>0</v>
      </c>
      <c r="I118" s="355">
        <v>0</v>
      </c>
      <c r="M118" s="321"/>
      <c r="N118" s="322"/>
      <c r="O118" s="322"/>
      <c r="P118" s="323"/>
      <c r="Q118" s="322"/>
      <c r="R118" s="322"/>
    </row>
    <row r="119" spans="1:18" ht="19.5" hidden="1" customHeight="1" x14ac:dyDescent="0.2">
      <c r="A119" s="349" t="s">
        <v>41</v>
      </c>
      <c r="B119" s="356"/>
      <c r="C119" s="354">
        <f t="shared" ref="C119:G119" si="16">SUM(C116:C118)</f>
        <v>0.24000000000000002</v>
      </c>
      <c r="D119" s="355" t="e">
        <f>SUM(D116:D118)</f>
        <v>#REF!</v>
      </c>
      <c r="E119" s="355">
        <f t="shared" si="16"/>
        <v>-652739.19663438585</v>
      </c>
      <c r="F119" s="355">
        <f t="shared" si="16"/>
        <v>-25789.706642792535</v>
      </c>
      <c r="G119" s="355">
        <f t="shared" si="16"/>
        <v>507010.23871730658</v>
      </c>
      <c r="H119" s="355">
        <f t="shared" ref="H119:I119" si="17">SUM(H116:H118)</f>
        <v>607807.22701433499</v>
      </c>
      <c r="I119" s="355">
        <f t="shared" si="17"/>
        <v>931451.31159932516</v>
      </c>
      <c r="M119" s="321"/>
      <c r="N119" s="322"/>
      <c r="O119" s="322"/>
      <c r="P119" s="323"/>
      <c r="Q119" s="322"/>
      <c r="R119" s="322"/>
    </row>
    <row r="120" spans="1:18" hidden="1" x14ac:dyDescent="0.2">
      <c r="A120" s="349"/>
      <c r="B120" s="356"/>
      <c r="C120" s="354"/>
      <c r="D120" s="355"/>
      <c r="E120" s="355"/>
      <c r="F120" s="355"/>
      <c r="G120" s="355"/>
      <c r="H120" s="355"/>
      <c r="I120" s="355"/>
      <c r="M120" s="321"/>
      <c r="N120" s="322"/>
      <c r="O120" s="322"/>
      <c r="P120" s="323"/>
      <c r="Q120" s="322"/>
      <c r="R120" s="322"/>
    </row>
    <row r="121" spans="1:18" hidden="1" x14ac:dyDescent="0.2">
      <c r="A121" s="349" t="s">
        <v>40</v>
      </c>
      <c r="B121" s="353">
        <v>0.03</v>
      </c>
      <c r="C121" s="354">
        <f>C119*B121</f>
        <v>7.2000000000000007E-3</v>
      </c>
      <c r="D121" s="355" t="e">
        <f>D119*4%</f>
        <v>#REF!</v>
      </c>
      <c r="E121" s="355">
        <f t="shared" ref="E121:I121" si="18">E119*4%</f>
        <v>-26109.567865375433</v>
      </c>
      <c r="F121" s="355">
        <f t="shared" si="18"/>
        <v>-1031.5882657117013</v>
      </c>
      <c r="G121" s="355">
        <f t="shared" si="18"/>
        <v>20280.409548692263</v>
      </c>
      <c r="H121" s="355">
        <f t="shared" si="18"/>
        <v>24312.289080573399</v>
      </c>
      <c r="I121" s="355">
        <f t="shared" si="18"/>
        <v>37258.052463973007</v>
      </c>
      <c r="M121" s="321"/>
      <c r="N121" s="322"/>
      <c r="O121" s="322"/>
      <c r="P121" s="323"/>
      <c r="Q121" s="322"/>
      <c r="R121" s="322"/>
    </row>
    <row r="122" spans="1:18" hidden="1" x14ac:dyDescent="0.2">
      <c r="A122" s="349"/>
      <c r="B122" s="356"/>
      <c r="C122" s="357"/>
      <c r="D122" s="314"/>
      <c r="E122" s="314"/>
      <c r="F122" s="314"/>
      <c r="G122" s="314"/>
      <c r="H122" s="314"/>
      <c r="I122" s="314"/>
      <c r="M122" s="321"/>
      <c r="N122" s="322"/>
      <c r="O122" s="322"/>
      <c r="P122" s="323"/>
      <c r="Q122" s="322"/>
      <c r="R122" s="322"/>
    </row>
    <row r="123" spans="1:18" hidden="1" x14ac:dyDescent="0.2">
      <c r="A123" s="358" t="s">
        <v>42</v>
      </c>
      <c r="B123" s="359"/>
      <c r="C123" s="360">
        <f t="shared" ref="C123:I123" si="19">C119+C121</f>
        <v>0.24720000000000003</v>
      </c>
      <c r="D123" s="361" t="e">
        <f t="shared" si="19"/>
        <v>#REF!</v>
      </c>
      <c r="E123" s="361">
        <f>E119+E121</f>
        <v>-678848.76449976128</v>
      </c>
      <c r="F123" s="361">
        <f t="shared" si="19"/>
        <v>-26821.294908504235</v>
      </c>
      <c r="G123" s="361">
        <f>G119+G121</f>
        <v>527290.64826599881</v>
      </c>
      <c r="H123" s="361">
        <f t="shared" si="19"/>
        <v>632119.51609490835</v>
      </c>
      <c r="I123" s="361">
        <f t="shared" si="19"/>
        <v>968709.36406329821</v>
      </c>
      <c r="M123" s="321"/>
      <c r="N123" s="322"/>
      <c r="O123" s="322"/>
      <c r="P123" s="323"/>
      <c r="Q123" s="322"/>
      <c r="R123" s="322"/>
    </row>
    <row r="124" spans="1:18" hidden="1" x14ac:dyDescent="0.2">
      <c r="A124" s="289"/>
      <c r="B124" s="289"/>
      <c r="C124" s="289"/>
      <c r="D124" s="290"/>
      <c r="E124" s="289"/>
      <c r="F124" s="289"/>
      <c r="G124" s="289"/>
      <c r="H124" s="289"/>
      <c r="I124" s="289"/>
      <c r="M124" s="321"/>
      <c r="N124" s="322"/>
      <c r="O124" s="322"/>
      <c r="P124" s="323"/>
      <c r="Q124" s="322"/>
      <c r="R124" s="322"/>
    </row>
    <row r="125" spans="1:18" hidden="1" x14ac:dyDescent="0.2">
      <c r="A125" s="289"/>
      <c r="B125" s="289"/>
      <c r="C125" s="289"/>
      <c r="D125" s="290" t="e">
        <f>D44</f>
        <v>#REF!</v>
      </c>
      <c r="E125" s="290">
        <f>E44</f>
        <v>-2175797.3221146194</v>
      </c>
      <c r="F125" s="290">
        <f t="shared" ref="F125:I125" si="20">F44</f>
        <v>-85965.688809308456</v>
      </c>
      <c r="G125" s="290">
        <f t="shared" si="20"/>
        <v>1690034.1290576886</v>
      </c>
      <c r="H125" s="290">
        <f>H44</f>
        <v>2026024.0900477835</v>
      </c>
      <c r="I125" s="290">
        <f t="shared" si="20"/>
        <v>3104837.7053310839</v>
      </c>
      <c r="M125" s="321"/>
      <c r="N125" s="322"/>
      <c r="O125" s="322"/>
      <c r="P125" s="323"/>
      <c r="Q125" s="322"/>
      <c r="R125" s="322"/>
    </row>
    <row r="126" spans="1:18" x14ac:dyDescent="0.2">
      <c r="A126" s="289"/>
      <c r="B126" s="289"/>
      <c r="C126" s="289"/>
      <c r="D126" s="290"/>
      <c r="E126" s="289"/>
      <c r="F126" s="289"/>
      <c r="G126" s="289"/>
      <c r="H126" s="289"/>
      <c r="I126" s="289"/>
      <c r="M126" s="321"/>
      <c r="N126" s="322"/>
      <c r="O126" s="322"/>
      <c r="P126" s="323"/>
      <c r="Q126" s="322"/>
      <c r="R126" s="322"/>
    </row>
    <row r="127" spans="1:18" x14ac:dyDescent="0.2">
      <c r="D127" s="203"/>
      <c r="M127" s="321"/>
      <c r="N127" s="322"/>
      <c r="O127" s="322"/>
      <c r="P127" s="323"/>
      <c r="Q127" s="322"/>
      <c r="R127" s="322"/>
    </row>
    <row r="128" spans="1:18" x14ac:dyDescent="0.2">
      <c r="D128" s="203"/>
      <c r="M128" s="321"/>
      <c r="N128" s="322"/>
      <c r="O128" s="322"/>
      <c r="P128" s="323"/>
      <c r="Q128" s="322"/>
      <c r="R128" s="322"/>
    </row>
    <row r="129" spans="3:18" x14ac:dyDescent="0.2">
      <c r="D129" s="203"/>
      <c r="M129" s="321"/>
      <c r="N129" s="322"/>
      <c r="O129" s="322"/>
      <c r="P129" s="323"/>
      <c r="Q129" s="322"/>
      <c r="R129" s="322"/>
    </row>
    <row r="130" spans="3:18" x14ac:dyDescent="0.2">
      <c r="D130" s="203"/>
      <c r="M130" s="321"/>
      <c r="N130" s="322"/>
      <c r="O130" s="322"/>
      <c r="P130" s="323"/>
      <c r="Q130" s="322"/>
      <c r="R130" s="322"/>
    </row>
    <row r="131" spans="3:18" x14ac:dyDescent="0.2">
      <c r="C131" s="203"/>
      <c r="D131" s="203"/>
      <c r="M131" s="321"/>
      <c r="N131" s="322"/>
      <c r="O131" s="322"/>
      <c r="P131" s="323"/>
      <c r="Q131" s="322"/>
      <c r="R131" s="322"/>
    </row>
    <row r="132" spans="3:18" x14ac:dyDescent="0.2">
      <c r="D132" s="203"/>
      <c r="M132" s="321"/>
      <c r="N132" s="322"/>
      <c r="O132" s="322"/>
      <c r="P132" s="323"/>
      <c r="Q132" s="322"/>
      <c r="R132" s="322"/>
    </row>
    <row r="133" spans="3:18" x14ac:dyDescent="0.2">
      <c r="D133" s="203"/>
      <c r="M133" s="321"/>
      <c r="N133" s="322"/>
      <c r="O133" s="322"/>
      <c r="P133" s="323"/>
      <c r="Q133" s="322"/>
      <c r="R133" s="322"/>
    </row>
    <row r="134" spans="3:18" x14ac:dyDescent="0.2">
      <c r="D134" s="203"/>
      <c r="M134" s="321"/>
      <c r="N134" s="322"/>
      <c r="O134" s="322"/>
      <c r="P134" s="323"/>
      <c r="Q134" s="322"/>
      <c r="R134" s="322"/>
    </row>
    <row r="135" spans="3:18" x14ac:dyDescent="0.2">
      <c r="D135" s="203"/>
      <c r="M135" s="321"/>
      <c r="N135" s="322"/>
      <c r="O135" s="322"/>
      <c r="P135" s="323"/>
      <c r="Q135" s="322"/>
      <c r="R135" s="322"/>
    </row>
    <row r="136" spans="3:18" x14ac:dyDescent="0.2">
      <c r="D136" s="203"/>
      <c r="M136" s="321"/>
      <c r="N136" s="322"/>
      <c r="O136" s="322"/>
      <c r="P136" s="323"/>
      <c r="Q136" s="322"/>
      <c r="R136" s="322"/>
    </row>
    <row r="137" spans="3:18" x14ac:dyDescent="0.2">
      <c r="D137" s="203"/>
      <c r="M137" s="321"/>
      <c r="N137" s="322"/>
      <c r="O137" s="322"/>
      <c r="P137" s="323"/>
      <c r="Q137" s="322"/>
      <c r="R137" s="322"/>
    </row>
    <row r="138" spans="3:18" x14ac:dyDescent="0.2">
      <c r="D138" s="203"/>
      <c r="M138" s="321"/>
      <c r="N138" s="322"/>
      <c r="O138" s="322"/>
      <c r="P138" s="323"/>
      <c r="Q138" s="322"/>
      <c r="R138" s="322"/>
    </row>
    <row r="139" spans="3:18" x14ac:dyDescent="0.2">
      <c r="D139" s="203"/>
      <c r="M139" s="321"/>
      <c r="N139" s="322"/>
      <c r="O139" s="322"/>
      <c r="P139" s="323"/>
      <c r="Q139" s="322"/>
      <c r="R139" s="322"/>
    </row>
    <row r="140" spans="3:18" x14ac:dyDescent="0.2">
      <c r="D140" s="203"/>
      <c r="M140" s="321"/>
      <c r="N140" s="322"/>
      <c r="O140" s="322"/>
      <c r="P140" s="323"/>
      <c r="Q140" s="322"/>
      <c r="R140" s="322"/>
    </row>
    <row r="141" spans="3:18" x14ac:dyDescent="0.2">
      <c r="D141" s="203"/>
      <c r="M141" s="321"/>
      <c r="N141" s="322"/>
      <c r="O141" s="322"/>
      <c r="P141" s="323"/>
      <c r="Q141" s="322"/>
      <c r="R141" s="322"/>
    </row>
    <row r="142" spans="3:18" x14ac:dyDescent="0.2">
      <c r="D142" s="203"/>
      <c r="M142" s="321"/>
      <c r="N142" s="322"/>
      <c r="O142" s="322"/>
      <c r="P142" s="323"/>
      <c r="Q142" s="322"/>
      <c r="R142" s="322"/>
    </row>
    <row r="143" spans="3:18" x14ac:dyDescent="0.2">
      <c r="D143" s="203"/>
      <c r="M143" s="321"/>
      <c r="N143" s="322"/>
      <c r="O143" s="322"/>
      <c r="P143" s="323"/>
      <c r="Q143" s="322"/>
      <c r="R143" s="322"/>
    </row>
    <row r="144" spans="3:18" x14ac:dyDescent="0.2">
      <c r="D144" s="203"/>
      <c r="M144" s="321"/>
      <c r="N144" s="322"/>
      <c r="O144" s="322"/>
      <c r="P144" s="323"/>
      <c r="Q144" s="322"/>
      <c r="R144" s="322"/>
    </row>
    <row r="145" spans="4:18" x14ac:dyDescent="0.2">
      <c r="D145" s="203"/>
      <c r="M145" s="321"/>
      <c r="N145" s="322"/>
      <c r="O145" s="322"/>
      <c r="P145" s="323"/>
      <c r="Q145" s="322"/>
      <c r="R145" s="322"/>
    </row>
    <row r="146" spans="4:18" x14ac:dyDescent="0.2">
      <c r="D146" s="203"/>
      <c r="M146" s="321"/>
      <c r="N146" s="322"/>
      <c r="O146" s="322"/>
      <c r="P146" s="323"/>
      <c r="Q146" s="322"/>
      <c r="R146" s="322"/>
    </row>
    <row r="147" spans="4:18" x14ac:dyDescent="0.2">
      <c r="D147" s="203"/>
      <c r="M147" s="321"/>
      <c r="N147" s="322"/>
      <c r="O147" s="322"/>
      <c r="P147" s="323"/>
      <c r="Q147" s="322"/>
      <c r="R147" s="322"/>
    </row>
    <row r="148" spans="4:18" x14ac:dyDescent="0.2">
      <c r="D148" s="203"/>
      <c r="M148" s="321"/>
      <c r="N148" s="322"/>
      <c r="O148" s="322"/>
      <c r="P148" s="323"/>
      <c r="Q148" s="322"/>
      <c r="R148" s="322"/>
    </row>
    <row r="149" spans="4:18" x14ac:dyDescent="0.2">
      <c r="D149" s="203"/>
      <c r="M149" s="321"/>
      <c r="N149" s="322"/>
      <c r="O149" s="322"/>
      <c r="P149" s="323"/>
      <c r="Q149" s="322"/>
      <c r="R149" s="322"/>
    </row>
    <row r="150" spans="4:18" x14ac:dyDescent="0.2">
      <c r="D150" s="203"/>
      <c r="M150" s="321"/>
      <c r="N150" s="322"/>
      <c r="O150" s="322"/>
      <c r="P150" s="323"/>
      <c r="Q150" s="322"/>
      <c r="R150" s="322"/>
    </row>
    <row r="151" spans="4:18" x14ac:dyDescent="0.2">
      <c r="D151" s="203"/>
      <c r="M151" s="321"/>
      <c r="N151" s="322"/>
      <c r="O151" s="322"/>
      <c r="P151" s="323"/>
      <c r="Q151" s="322"/>
      <c r="R151" s="322"/>
    </row>
    <row r="152" spans="4:18" x14ac:dyDescent="0.2">
      <c r="D152" s="203"/>
      <c r="M152" s="321"/>
      <c r="N152" s="322"/>
      <c r="O152" s="322"/>
      <c r="P152" s="323"/>
      <c r="Q152" s="322"/>
      <c r="R152" s="322"/>
    </row>
    <row r="153" spans="4:18" x14ac:dyDescent="0.2">
      <c r="D153" s="203"/>
      <c r="M153" s="321"/>
      <c r="N153" s="322"/>
      <c r="O153" s="322"/>
      <c r="P153" s="323"/>
      <c r="Q153" s="322"/>
      <c r="R153" s="322"/>
    </row>
    <row r="154" spans="4:18" x14ac:dyDescent="0.2">
      <c r="D154" s="203"/>
      <c r="M154" s="321"/>
      <c r="N154" s="322"/>
      <c r="O154" s="322"/>
      <c r="P154" s="323"/>
      <c r="Q154" s="322"/>
      <c r="R154" s="322"/>
    </row>
    <row r="155" spans="4:18" x14ac:dyDescent="0.2">
      <c r="D155" s="203"/>
      <c r="M155" s="321"/>
      <c r="N155" s="322"/>
      <c r="O155" s="322"/>
      <c r="P155" s="323"/>
      <c r="Q155" s="322"/>
      <c r="R155" s="322"/>
    </row>
    <row r="156" spans="4:18" x14ac:dyDescent="0.2">
      <c r="D156" s="203"/>
      <c r="M156" s="321"/>
      <c r="N156" s="322"/>
      <c r="O156" s="322"/>
      <c r="P156" s="323"/>
      <c r="Q156" s="322"/>
      <c r="R156" s="322"/>
    </row>
    <row r="157" spans="4:18" x14ac:dyDescent="0.2">
      <c r="D157" s="203"/>
      <c r="M157" s="321"/>
      <c r="N157" s="322"/>
      <c r="O157" s="322"/>
      <c r="P157" s="323"/>
      <c r="Q157" s="322"/>
      <c r="R157" s="322"/>
    </row>
    <row r="158" spans="4:18" x14ac:dyDescent="0.2">
      <c r="D158" s="203"/>
      <c r="M158" s="321"/>
      <c r="N158" s="322"/>
      <c r="O158" s="322"/>
      <c r="P158" s="323"/>
      <c r="Q158" s="322"/>
      <c r="R158" s="322"/>
    </row>
    <row r="159" spans="4:18" x14ac:dyDescent="0.2">
      <c r="D159" s="203"/>
      <c r="M159" s="321"/>
      <c r="N159" s="322"/>
      <c r="O159" s="322"/>
      <c r="P159" s="323"/>
      <c r="Q159" s="322"/>
      <c r="R159" s="322"/>
    </row>
    <row r="160" spans="4:18" x14ac:dyDescent="0.2">
      <c r="D160" s="203"/>
      <c r="M160" s="321"/>
      <c r="N160" s="322"/>
      <c r="O160" s="322"/>
      <c r="P160" s="323"/>
      <c r="Q160" s="322"/>
      <c r="R160" s="322"/>
    </row>
    <row r="161" spans="4:18" x14ac:dyDescent="0.2">
      <c r="D161" s="203"/>
      <c r="M161" s="321"/>
      <c r="N161" s="322"/>
      <c r="O161" s="322"/>
      <c r="P161" s="323"/>
      <c r="Q161" s="322"/>
      <c r="R161" s="322"/>
    </row>
    <row r="162" spans="4:18" x14ac:dyDescent="0.2">
      <c r="D162" s="203"/>
      <c r="M162" s="321"/>
      <c r="N162" s="322"/>
      <c r="O162" s="322"/>
      <c r="P162" s="323"/>
      <c r="Q162" s="322"/>
      <c r="R162" s="322"/>
    </row>
    <row r="163" spans="4:18" x14ac:dyDescent="0.2">
      <c r="D163" s="203"/>
      <c r="M163" s="321"/>
      <c r="N163" s="322"/>
      <c r="O163" s="322"/>
      <c r="P163" s="323"/>
      <c r="Q163" s="322"/>
      <c r="R163" s="322"/>
    </row>
    <row r="164" spans="4:18" x14ac:dyDescent="0.2">
      <c r="D164" s="203"/>
      <c r="M164" s="321"/>
      <c r="N164" s="322"/>
      <c r="O164" s="322"/>
      <c r="P164" s="323"/>
      <c r="Q164" s="322"/>
      <c r="R164" s="322"/>
    </row>
    <row r="165" spans="4:18" x14ac:dyDescent="0.2">
      <c r="D165" s="203"/>
      <c r="M165" s="321"/>
      <c r="N165" s="322"/>
      <c r="O165" s="322"/>
      <c r="P165" s="323"/>
      <c r="Q165" s="322"/>
      <c r="R165" s="322"/>
    </row>
    <row r="166" spans="4:18" x14ac:dyDescent="0.2">
      <c r="D166" s="203"/>
      <c r="M166" s="321"/>
      <c r="N166" s="322"/>
      <c r="O166" s="322"/>
      <c r="P166" s="323"/>
      <c r="Q166" s="322"/>
      <c r="R166" s="322"/>
    </row>
    <row r="167" spans="4:18" x14ac:dyDescent="0.2">
      <c r="D167" s="203"/>
      <c r="M167" s="321"/>
      <c r="N167" s="322"/>
      <c r="O167" s="322"/>
      <c r="P167" s="323"/>
      <c r="Q167" s="322"/>
      <c r="R167" s="322"/>
    </row>
    <row r="168" spans="4:18" x14ac:dyDescent="0.2">
      <c r="D168" s="203"/>
      <c r="M168" s="321"/>
      <c r="N168" s="322"/>
      <c r="O168" s="322"/>
      <c r="P168" s="323"/>
      <c r="Q168" s="322"/>
      <c r="R168" s="322"/>
    </row>
    <row r="169" spans="4:18" x14ac:dyDescent="0.2">
      <c r="D169" s="203"/>
      <c r="M169" s="321"/>
      <c r="N169" s="322"/>
      <c r="O169" s="322"/>
      <c r="P169" s="323"/>
      <c r="Q169" s="322"/>
      <c r="R169" s="322"/>
    </row>
    <row r="170" spans="4:18" x14ac:dyDescent="0.2">
      <c r="D170" s="203"/>
      <c r="M170" s="321"/>
      <c r="N170" s="322"/>
      <c r="O170" s="322"/>
      <c r="P170" s="323"/>
      <c r="Q170" s="322"/>
      <c r="R170" s="322"/>
    </row>
    <row r="171" spans="4:18" x14ac:dyDescent="0.2">
      <c r="D171" s="203"/>
      <c r="M171" s="321"/>
      <c r="N171" s="322"/>
      <c r="O171" s="322"/>
      <c r="P171" s="323"/>
      <c r="Q171" s="322"/>
      <c r="R171" s="322"/>
    </row>
    <row r="172" spans="4:18" x14ac:dyDescent="0.2">
      <c r="D172" s="203"/>
      <c r="M172" s="321"/>
      <c r="N172" s="322"/>
      <c r="O172" s="322"/>
      <c r="P172" s="323"/>
      <c r="Q172" s="322"/>
      <c r="R172" s="322"/>
    </row>
    <row r="173" spans="4:18" x14ac:dyDescent="0.2">
      <c r="D173" s="203"/>
      <c r="M173" s="321"/>
      <c r="N173" s="322"/>
      <c r="O173" s="322"/>
      <c r="P173" s="323"/>
      <c r="Q173" s="322"/>
      <c r="R173" s="322"/>
    </row>
    <row r="174" spans="4:18" x14ac:dyDescent="0.2">
      <c r="D174" s="203"/>
      <c r="M174" s="321"/>
      <c r="N174" s="322"/>
      <c r="O174" s="322"/>
      <c r="P174" s="323"/>
      <c r="Q174" s="322"/>
      <c r="R174" s="322"/>
    </row>
    <row r="175" spans="4:18" x14ac:dyDescent="0.2">
      <c r="D175" s="203"/>
      <c r="M175" s="321"/>
      <c r="N175" s="322"/>
      <c r="O175" s="322"/>
      <c r="P175" s="323"/>
      <c r="Q175" s="322"/>
      <c r="R175" s="322"/>
    </row>
    <row r="176" spans="4:18" x14ac:dyDescent="0.2">
      <c r="D176" s="203"/>
      <c r="M176" s="321"/>
      <c r="N176" s="322"/>
      <c r="O176" s="322"/>
      <c r="P176" s="323"/>
      <c r="Q176" s="322"/>
      <c r="R176" s="322"/>
    </row>
    <row r="177" spans="4:18" x14ac:dyDescent="0.2">
      <c r="D177" s="203"/>
      <c r="M177" s="321"/>
      <c r="N177" s="322"/>
      <c r="O177" s="322"/>
      <c r="P177" s="323"/>
      <c r="Q177" s="322"/>
      <c r="R177" s="322"/>
    </row>
    <row r="178" spans="4:18" x14ac:dyDescent="0.2">
      <c r="D178" s="203"/>
      <c r="M178" s="321"/>
      <c r="N178" s="322"/>
      <c r="O178" s="322"/>
      <c r="P178" s="323"/>
      <c r="Q178" s="322"/>
      <c r="R178" s="322"/>
    </row>
    <row r="179" spans="4:18" x14ac:dyDescent="0.2">
      <c r="D179" s="203"/>
      <c r="M179" s="321"/>
      <c r="N179" s="322"/>
      <c r="O179" s="322"/>
      <c r="P179" s="323"/>
      <c r="Q179" s="322"/>
      <c r="R179" s="322"/>
    </row>
    <row r="180" spans="4:18" x14ac:dyDescent="0.2">
      <c r="D180" s="203"/>
      <c r="M180" s="321"/>
      <c r="N180" s="322"/>
      <c r="O180" s="322"/>
      <c r="P180" s="323"/>
      <c r="Q180" s="322"/>
      <c r="R180" s="322"/>
    </row>
    <row r="181" spans="4:18" x14ac:dyDescent="0.2">
      <c r="D181" s="203"/>
      <c r="M181" s="321"/>
      <c r="N181" s="322"/>
      <c r="O181" s="322"/>
      <c r="P181" s="323"/>
      <c r="Q181" s="322"/>
      <c r="R181" s="322"/>
    </row>
    <row r="182" spans="4:18" x14ac:dyDescent="0.2">
      <c r="D182" s="203"/>
      <c r="M182" s="321"/>
      <c r="N182" s="322"/>
      <c r="O182" s="322"/>
      <c r="P182" s="323"/>
      <c r="Q182" s="322"/>
      <c r="R182" s="322"/>
    </row>
    <row r="183" spans="4:18" x14ac:dyDescent="0.2">
      <c r="D183" s="203"/>
      <c r="M183" s="321"/>
      <c r="N183" s="322"/>
      <c r="O183" s="322"/>
      <c r="P183" s="323"/>
      <c r="Q183" s="322"/>
      <c r="R183" s="322"/>
    </row>
    <row r="184" spans="4:18" x14ac:dyDescent="0.2">
      <c r="D184" s="203"/>
      <c r="M184" s="321"/>
      <c r="N184" s="322"/>
      <c r="O184" s="322"/>
      <c r="P184" s="323"/>
      <c r="Q184" s="322"/>
      <c r="R184" s="322"/>
    </row>
    <row r="185" spans="4:18" x14ac:dyDescent="0.2">
      <c r="D185" s="203"/>
      <c r="M185" s="321"/>
      <c r="N185" s="322"/>
      <c r="O185" s="322"/>
      <c r="P185" s="323"/>
      <c r="Q185" s="322"/>
      <c r="R185" s="322"/>
    </row>
    <row r="186" spans="4:18" x14ac:dyDescent="0.2">
      <c r="D186" s="203"/>
      <c r="N186" s="322"/>
      <c r="O186" s="322"/>
      <c r="P186" s="323"/>
      <c r="Q186" s="322"/>
      <c r="R186" s="322"/>
    </row>
    <row r="187" spans="4:18" x14ac:dyDescent="0.2">
      <c r="D187" s="203"/>
      <c r="N187" s="322"/>
      <c r="O187" s="322"/>
      <c r="P187" s="323"/>
      <c r="Q187" s="322"/>
      <c r="R187" s="322"/>
    </row>
    <row r="188" spans="4:18" x14ac:dyDescent="0.2">
      <c r="D188" s="203"/>
      <c r="N188" s="322"/>
      <c r="O188" s="322"/>
      <c r="P188" s="323"/>
      <c r="Q188" s="322"/>
      <c r="R188" s="322"/>
    </row>
    <row r="189" spans="4:18" x14ac:dyDescent="0.2">
      <c r="N189" s="322"/>
      <c r="O189" s="322"/>
      <c r="P189" s="323"/>
      <c r="Q189" s="322"/>
      <c r="R189" s="322"/>
    </row>
    <row r="190" spans="4:18" x14ac:dyDescent="0.2">
      <c r="N190" s="322"/>
      <c r="O190" s="322"/>
      <c r="P190" s="323"/>
      <c r="Q190" s="322"/>
      <c r="R190" s="322"/>
    </row>
    <row r="191" spans="4:18" x14ac:dyDescent="0.2">
      <c r="N191" s="322"/>
      <c r="O191" s="322"/>
      <c r="P191" s="323"/>
      <c r="Q191" s="322"/>
      <c r="R191" s="322"/>
    </row>
  </sheetData>
  <mergeCells count="1">
    <mergeCell ref="D111:I111"/>
  </mergeCells>
  <phoneticPr fontId="0" type="noConversion"/>
  <printOptions horizontalCentered="1"/>
  <pageMargins left="0.51181102362204722" right="0.51181102362204722" top="1.2598425196850394" bottom="0.31496062992125984" header="0" footer="0"/>
  <pageSetup paperSize="9" scale="75" fitToWidth="2" fitToHeight="2" orientation="portrait" r:id="rId1"/>
  <headerFooter alignWithMargins="0"/>
  <rowBreaks count="1" manualBreakCount="1">
    <brk id="59"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G15"/>
  <sheetViews>
    <sheetView topLeftCell="A19" workbookViewId="0">
      <selection activeCell="H35" sqref="H35"/>
    </sheetView>
  </sheetViews>
  <sheetFormatPr defaultRowHeight="13.2" x14ac:dyDescent="0.25"/>
  <cols>
    <col min="1" max="1" width="14" bestFit="1" customWidth="1"/>
    <col min="2" max="7" width="11.33203125" bestFit="1" customWidth="1"/>
  </cols>
  <sheetData>
    <row r="3" spans="1:7" ht="15.6" x14ac:dyDescent="0.3">
      <c r="B3" t="s">
        <v>107</v>
      </c>
      <c r="C3" s="82" t="s">
        <v>88</v>
      </c>
      <c r="D3" s="83" t="s">
        <v>89</v>
      </c>
      <c r="E3" s="83" t="s">
        <v>90</v>
      </c>
      <c r="F3" s="83" t="s">
        <v>91</v>
      </c>
      <c r="G3" s="83" t="s">
        <v>92</v>
      </c>
    </row>
    <row r="5" spans="1:7" x14ac:dyDescent="0.25">
      <c r="A5" t="s">
        <v>101</v>
      </c>
      <c r="B5" s="80">
        <v>800</v>
      </c>
      <c r="C5" s="80">
        <v>1000</v>
      </c>
      <c r="D5" s="80">
        <f>C5*120%</f>
        <v>1200</v>
      </c>
      <c r="E5" s="80">
        <f t="shared" ref="E5:G5" si="0">D5*120%</f>
        <v>1440</v>
      </c>
      <c r="F5" s="80">
        <f t="shared" si="0"/>
        <v>1728</v>
      </c>
      <c r="G5" s="80">
        <f t="shared" si="0"/>
        <v>2073.6</v>
      </c>
    </row>
    <row r="6" spans="1:7" x14ac:dyDescent="0.25">
      <c r="A6" t="s">
        <v>102</v>
      </c>
      <c r="B6" s="80">
        <f>180-26</f>
        <v>154</v>
      </c>
      <c r="C6">
        <f>365-26</f>
        <v>339</v>
      </c>
      <c r="D6">
        <f t="shared" ref="D6:G6" si="1">365-26</f>
        <v>339</v>
      </c>
      <c r="E6">
        <f t="shared" si="1"/>
        <v>339</v>
      </c>
      <c r="F6">
        <f t="shared" si="1"/>
        <v>339</v>
      </c>
      <c r="G6">
        <f t="shared" si="1"/>
        <v>339</v>
      </c>
    </row>
    <row r="8" spans="1:7" x14ac:dyDescent="0.25">
      <c r="A8" t="s">
        <v>103</v>
      </c>
      <c r="B8" s="80">
        <f>B5*B6</f>
        <v>123200</v>
      </c>
      <c r="C8" s="80">
        <f t="shared" ref="C8:G8" si="2">C5*C6</f>
        <v>339000</v>
      </c>
      <c r="D8" s="80">
        <f t="shared" si="2"/>
        <v>406800</v>
      </c>
      <c r="E8" s="80">
        <f t="shared" si="2"/>
        <v>488160</v>
      </c>
      <c r="F8" s="80">
        <f t="shared" si="2"/>
        <v>585792</v>
      </c>
      <c r="G8" s="80">
        <f t="shared" si="2"/>
        <v>702950.40000000002</v>
      </c>
    </row>
    <row r="10" spans="1:7" x14ac:dyDescent="0.25">
      <c r="A10" t="s">
        <v>104</v>
      </c>
      <c r="B10" s="80">
        <f>600*6</f>
        <v>3600</v>
      </c>
      <c r="C10" s="80">
        <f>600*12</f>
        <v>7200</v>
      </c>
      <c r="D10" s="80">
        <f>C10*110%</f>
        <v>7920.0000000000009</v>
      </c>
      <c r="E10" s="80">
        <f t="shared" ref="E10:G10" si="3">D10*110%</f>
        <v>8712.0000000000018</v>
      </c>
      <c r="F10" s="80">
        <f t="shared" si="3"/>
        <v>9583.2000000000025</v>
      </c>
      <c r="G10" s="80">
        <f t="shared" si="3"/>
        <v>10541.520000000004</v>
      </c>
    </row>
    <row r="11" spans="1:7" x14ac:dyDescent="0.25">
      <c r="A11" t="s">
        <v>105</v>
      </c>
      <c r="B11" s="80">
        <f>250*B6</f>
        <v>38500</v>
      </c>
      <c r="C11" s="80">
        <f>250*C6</f>
        <v>84750</v>
      </c>
      <c r="D11" s="80">
        <f>C11*110%</f>
        <v>93225.000000000015</v>
      </c>
      <c r="E11" s="80">
        <f t="shared" ref="E11:G11" si="4">D11*110%</f>
        <v>102547.50000000003</v>
      </c>
      <c r="F11" s="80">
        <f t="shared" si="4"/>
        <v>112802.25000000004</v>
      </c>
      <c r="G11" s="80">
        <f t="shared" si="4"/>
        <v>124082.47500000006</v>
      </c>
    </row>
    <row r="12" spans="1:7" x14ac:dyDescent="0.25">
      <c r="A12" t="s">
        <v>106</v>
      </c>
      <c r="B12" s="80">
        <f>150*B6</f>
        <v>23100</v>
      </c>
      <c r="C12" s="80">
        <f>150*C6</f>
        <v>50850</v>
      </c>
      <c r="D12" s="80">
        <f>C12*110%</f>
        <v>55935.000000000007</v>
      </c>
      <c r="E12" s="80">
        <f t="shared" ref="E12:G12" si="5">D12*110%</f>
        <v>61528.500000000015</v>
      </c>
      <c r="F12" s="80">
        <f t="shared" si="5"/>
        <v>67681.35000000002</v>
      </c>
      <c r="G12" s="80">
        <f t="shared" si="5"/>
        <v>74449.48500000003</v>
      </c>
    </row>
    <row r="13" spans="1:7" x14ac:dyDescent="0.25">
      <c r="B13" s="80">
        <f>SUM(B10:B12)</f>
        <v>65200</v>
      </c>
      <c r="C13" s="80">
        <f t="shared" ref="C13:G13" si="6">SUM(C10:C12)</f>
        <v>142800</v>
      </c>
      <c r="D13" s="80">
        <f t="shared" si="6"/>
        <v>157080.00000000003</v>
      </c>
      <c r="E13" s="80">
        <f t="shared" si="6"/>
        <v>172788.00000000006</v>
      </c>
      <c r="F13" s="80">
        <f t="shared" si="6"/>
        <v>190066.80000000005</v>
      </c>
      <c r="G13" s="80">
        <f t="shared" si="6"/>
        <v>209073.4800000001</v>
      </c>
    </row>
    <row r="15" spans="1:7" x14ac:dyDescent="0.25">
      <c r="A15" s="84" t="s">
        <v>108</v>
      </c>
      <c r="B15" s="81">
        <f>B8-B13</f>
        <v>58000</v>
      </c>
      <c r="C15" s="81">
        <f t="shared" ref="C15:G15" si="7">C8-C13</f>
        <v>196200</v>
      </c>
      <c r="D15" s="81">
        <f t="shared" si="7"/>
        <v>249719.99999999997</v>
      </c>
      <c r="E15" s="81">
        <f t="shared" si="7"/>
        <v>315371.99999999994</v>
      </c>
      <c r="F15" s="81">
        <f t="shared" si="7"/>
        <v>395725.19999999995</v>
      </c>
      <c r="G15" s="81">
        <f t="shared" si="7"/>
        <v>493876.91999999993</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200"/>
  <sheetViews>
    <sheetView view="pageBreakPreview" topLeftCell="A38" zoomScale="75" zoomScaleNormal="90" zoomScaleSheetLayoutView="75" workbookViewId="0">
      <selection activeCell="G48" sqref="G48"/>
    </sheetView>
  </sheetViews>
  <sheetFormatPr defaultColWidth="12.6640625" defaultRowHeight="18" x14ac:dyDescent="0.35"/>
  <cols>
    <col min="1" max="1" width="34.44140625" style="4" customWidth="1"/>
    <col min="2" max="2" width="11.33203125" style="4" hidden="1" customWidth="1"/>
    <col min="3" max="3" width="14.5546875" style="4" hidden="1" customWidth="1"/>
    <col min="4" max="4" width="15.6640625" style="4" hidden="1" customWidth="1"/>
    <col min="5" max="5" width="19.109375" style="4" bestFit="1" customWidth="1"/>
    <col min="6" max="6" width="18.33203125" style="4" bestFit="1" customWidth="1"/>
    <col min="7" max="7" width="21.33203125" style="4" bestFit="1" customWidth="1"/>
    <col min="8" max="8" width="16" style="4" bestFit="1" customWidth="1"/>
    <col min="9" max="9" width="15.44140625" style="4" customWidth="1"/>
    <col min="10" max="16384" width="12.6640625" style="4"/>
  </cols>
  <sheetData>
    <row r="1" spans="1:9" x14ac:dyDescent="0.35">
      <c r="A1" s="638" t="s">
        <v>357</v>
      </c>
      <c r="B1" s="639"/>
      <c r="C1" s="639"/>
      <c r="D1" s="639"/>
      <c r="E1" s="639"/>
      <c r="F1" s="639"/>
      <c r="G1" s="639"/>
      <c r="H1" s="639"/>
      <c r="I1" s="207"/>
    </row>
    <row r="2" spans="1:9" x14ac:dyDescent="0.35">
      <c r="G2" s="204" t="s">
        <v>119</v>
      </c>
      <c r="I2" s="379"/>
    </row>
    <row r="3" spans="1:9" s="92" customFormat="1" x14ac:dyDescent="0.35">
      <c r="A3" s="380" t="s">
        <v>0</v>
      </c>
      <c r="B3" s="381" t="s">
        <v>306</v>
      </c>
      <c r="C3" s="382" t="s">
        <v>307</v>
      </c>
      <c r="D3" s="383" t="s">
        <v>308</v>
      </c>
      <c r="E3" s="419">
        <v>1</v>
      </c>
      <c r="F3" s="384">
        <v>2</v>
      </c>
      <c r="G3" s="429">
        <v>3</v>
      </c>
      <c r="H3" s="436">
        <v>4</v>
      </c>
      <c r="I3" s="385">
        <v>5</v>
      </c>
    </row>
    <row r="4" spans="1:9" x14ac:dyDescent="0.35">
      <c r="A4" s="411"/>
      <c r="B4" s="403"/>
      <c r="C4" s="386"/>
      <c r="D4" s="386"/>
      <c r="E4" s="420"/>
      <c r="F4" s="422"/>
      <c r="G4" s="430"/>
      <c r="H4" s="437"/>
      <c r="I4" s="387"/>
    </row>
    <row r="5" spans="1:9" x14ac:dyDescent="0.35">
      <c r="A5" s="412" t="s">
        <v>358</v>
      </c>
      <c r="B5" s="404"/>
      <c r="C5" s="388"/>
      <c r="D5" s="388"/>
      <c r="E5" s="389"/>
      <c r="F5" s="423"/>
      <c r="G5" s="431"/>
      <c r="H5" s="423"/>
      <c r="I5" s="387"/>
    </row>
    <row r="6" spans="1:9" x14ac:dyDescent="0.35">
      <c r="A6" s="413" t="s">
        <v>359</v>
      </c>
      <c r="B6" s="405"/>
      <c r="C6" s="390"/>
      <c r="D6" s="390"/>
      <c r="E6" s="207"/>
      <c r="F6" s="424"/>
      <c r="G6" s="207"/>
      <c r="H6" s="424"/>
      <c r="I6" s="424"/>
    </row>
    <row r="7" spans="1:9" x14ac:dyDescent="0.35">
      <c r="A7" s="413" t="s">
        <v>360</v>
      </c>
      <c r="B7" s="406">
        <f>'[2]8.Cash Flow '!C36</f>
        <v>0</v>
      </c>
      <c r="C7" s="391">
        <f>'[2]8.Cash Flow '!D36</f>
        <v>0</v>
      </c>
      <c r="D7" s="391">
        <f>'[2]8.Cash Flow '!E36</f>
        <v>0</v>
      </c>
      <c r="E7" s="141">
        <v>4501862</v>
      </c>
      <c r="F7" s="141">
        <v>7240358</v>
      </c>
      <c r="G7" s="141">
        <v>11331484</v>
      </c>
      <c r="H7" s="141">
        <v>15400378</v>
      </c>
      <c r="I7" s="141">
        <v>20244545</v>
      </c>
    </row>
    <row r="8" spans="1:9" x14ac:dyDescent="0.35">
      <c r="A8" s="414" t="s">
        <v>361</v>
      </c>
      <c r="B8" s="407"/>
      <c r="C8" s="392"/>
      <c r="D8" s="392"/>
      <c r="E8" s="421"/>
      <c r="F8" s="426"/>
      <c r="G8" s="433"/>
      <c r="H8" s="426"/>
      <c r="I8" s="387"/>
    </row>
    <row r="9" spans="1:9" x14ac:dyDescent="0.35">
      <c r="A9" s="414" t="s">
        <v>362</v>
      </c>
      <c r="B9" s="407"/>
      <c r="C9" s="392"/>
      <c r="D9" s="392"/>
      <c r="E9" s="393"/>
      <c r="F9" s="426"/>
      <c r="G9" s="433"/>
      <c r="H9" s="426"/>
      <c r="I9" s="387"/>
    </row>
    <row r="10" spans="1:9" x14ac:dyDescent="0.35">
      <c r="A10" s="413" t="s">
        <v>363</v>
      </c>
      <c r="B10" s="406">
        <f t="shared" ref="B10:D10" si="0">SUM(B7:B9)</f>
        <v>0</v>
      </c>
      <c r="C10" s="391">
        <f t="shared" si="0"/>
        <v>0</v>
      </c>
      <c r="D10" s="391">
        <f t="shared" si="0"/>
        <v>0</v>
      </c>
      <c r="E10" s="394">
        <f>SUM(E7:E9)</f>
        <v>4501862</v>
      </c>
      <c r="F10" s="425">
        <f>SUM(F7:F9)</f>
        <v>7240358</v>
      </c>
      <c r="G10" s="432">
        <f>SUM(G7:G9)</f>
        <v>11331484</v>
      </c>
      <c r="H10" s="425">
        <f>SUM(H7:H9)</f>
        <v>15400378</v>
      </c>
      <c r="I10" s="425">
        <f>SUM(I7:I9)</f>
        <v>20244545</v>
      </c>
    </row>
    <row r="11" spans="1:9" x14ac:dyDescent="0.35">
      <c r="A11" s="413"/>
      <c r="B11" s="407"/>
      <c r="C11" s="392"/>
      <c r="D11" s="392"/>
      <c r="E11" s="393"/>
      <c r="F11" s="426"/>
      <c r="G11" s="433"/>
      <c r="H11" s="426"/>
      <c r="I11" s="387"/>
    </row>
    <row r="12" spans="1:9" x14ac:dyDescent="0.35">
      <c r="A12" s="414" t="s">
        <v>364</v>
      </c>
      <c r="B12" s="407">
        <f>'[2]3.Other Exp &amp; Taxes'!C70</f>
        <v>8254879.8599999994</v>
      </c>
      <c r="C12" s="392">
        <f>'[2]3.Other Exp &amp; Taxes'!D70</f>
        <v>7798959.7199999997</v>
      </c>
      <c r="D12" s="392">
        <f>'[2]3.Other Exp &amp; Taxes'!E70</f>
        <v>7343039.5800000001</v>
      </c>
      <c r="E12" s="393">
        <f>'7. depreciation'!H57</f>
        <v>10241989.8125</v>
      </c>
      <c r="F12" s="426">
        <f>'7. depreciation'!I57+0</f>
        <v>8703141.3406249993</v>
      </c>
      <c r="G12" s="433">
        <f>'7. depreciation'!J57+0</f>
        <v>7397827.6395312501</v>
      </c>
      <c r="H12" s="426">
        <f>'7. depreciation'!K57+0</f>
        <v>6289766.7436015625</v>
      </c>
      <c r="I12" s="426">
        <f>'7. depreciation'!L57+0</f>
        <v>5348636.5570613276</v>
      </c>
    </row>
    <row r="13" spans="1:9" x14ac:dyDescent="0.35">
      <c r="A13" s="414" t="s">
        <v>365</v>
      </c>
      <c r="B13" s="407">
        <f>'[2]3.Other Exp &amp; Taxes'!C71</f>
        <v>0</v>
      </c>
      <c r="C13" s="392">
        <f>'[2]3.Other Exp &amp; Taxes'!D71</f>
        <v>0</v>
      </c>
      <c r="D13" s="392">
        <f>'[2]3.Other Exp &amp; Taxes'!E71</f>
        <v>0</v>
      </c>
      <c r="E13" s="393">
        <f>'7. depreciation'!H59+0</f>
        <v>1816086.4375</v>
      </c>
      <c r="F13" s="426">
        <f>'7. depreciation'!I59+0</f>
        <v>1538848.471875</v>
      </c>
      <c r="G13" s="433">
        <f>'7. depreciation'!J59+0</f>
        <v>1305313.7010937501</v>
      </c>
      <c r="H13" s="426">
        <f>'7. depreciation'!K59+0</f>
        <v>1108060.8959296874</v>
      </c>
      <c r="I13" s="426">
        <f>'7. depreciation'!L59+0</f>
        <v>941130.18654023437</v>
      </c>
    </row>
    <row r="14" spans="1:9" x14ac:dyDescent="0.35">
      <c r="A14" s="413" t="s">
        <v>366</v>
      </c>
      <c r="B14" s="406">
        <f t="shared" ref="B14:I14" si="1">B12-B13</f>
        <v>8254879.8599999994</v>
      </c>
      <c r="C14" s="391">
        <f t="shared" si="1"/>
        <v>7798959.7199999997</v>
      </c>
      <c r="D14" s="391">
        <f t="shared" si="1"/>
        <v>7343039.5800000001</v>
      </c>
      <c r="E14" s="394">
        <f t="shared" si="1"/>
        <v>8425903.375</v>
      </c>
      <c r="F14" s="425">
        <f t="shared" si="1"/>
        <v>7164292.8687499994</v>
      </c>
      <c r="G14" s="432">
        <f t="shared" si="1"/>
        <v>6092513.9384375</v>
      </c>
      <c r="H14" s="425">
        <f t="shared" si="1"/>
        <v>5181705.8476718748</v>
      </c>
      <c r="I14" s="425">
        <f t="shared" si="1"/>
        <v>4407506.3705210928</v>
      </c>
    </row>
    <row r="15" spans="1:9" x14ac:dyDescent="0.35">
      <c r="A15" s="413"/>
      <c r="B15" s="406"/>
      <c r="C15" s="391"/>
      <c r="D15" s="391"/>
      <c r="E15" s="394"/>
      <c r="F15" s="425"/>
      <c r="G15" s="432"/>
      <c r="H15" s="425"/>
      <c r="I15" s="395"/>
    </row>
    <row r="16" spans="1:9" x14ac:dyDescent="0.35">
      <c r="A16" s="415"/>
      <c r="B16" s="406"/>
      <c r="C16" s="391"/>
      <c r="D16" s="391"/>
      <c r="E16" s="394"/>
      <c r="F16" s="425"/>
      <c r="G16" s="432"/>
      <c r="H16" s="425"/>
      <c r="I16" s="395"/>
    </row>
    <row r="17" spans="1:9" x14ac:dyDescent="0.35">
      <c r="A17" s="416" t="s">
        <v>367</v>
      </c>
      <c r="B17" s="406">
        <f>'[2]8.Cash Flow '!C23-'[2]6.Cons Profit &amp; Loss'!B34</f>
        <v>1265000</v>
      </c>
      <c r="C17" s="391">
        <f>B17-'[2]6.Cons Profit &amp; Loss'!C34</f>
        <v>1265000</v>
      </c>
      <c r="D17" s="391">
        <f>C17-'[2]6.Cons Profit &amp; Loss'!D34</f>
        <v>1265000</v>
      </c>
      <c r="E17" s="394">
        <f>'9. Expenses'!C63+0</f>
        <v>24000</v>
      </c>
      <c r="F17" s="425">
        <f>'9. Expenses'!D63+0</f>
        <v>24000</v>
      </c>
      <c r="G17" s="432">
        <f>'9. Expenses'!E63+0</f>
        <v>24000</v>
      </c>
      <c r="H17" s="425">
        <f>'9. Expenses'!F63+0</f>
        <v>24000</v>
      </c>
      <c r="I17" s="425">
        <f>'9. Expenses'!G63+0</f>
        <v>24000</v>
      </c>
    </row>
    <row r="18" spans="1:9" x14ac:dyDescent="0.35">
      <c r="A18" s="414"/>
      <c r="B18" s="407"/>
      <c r="C18" s="392"/>
      <c r="D18" s="392"/>
      <c r="E18" s="393"/>
      <c r="F18" s="426"/>
      <c r="G18" s="433"/>
      <c r="H18" s="426"/>
      <c r="I18" s="387"/>
    </row>
    <row r="19" spans="1:9" x14ac:dyDescent="0.35">
      <c r="A19" s="415" t="s">
        <v>368</v>
      </c>
      <c r="B19" s="406">
        <f t="shared" ref="B19:I19" si="2">B10+B14+B16+B17</f>
        <v>9519879.8599999994</v>
      </c>
      <c r="C19" s="391">
        <f t="shared" si="2"/>
        <v>9063959.7199999988</v>
      </c>
      <c r="D19" s="391">
        <f t="shared" si="2"/>
        <v>8608039.5800000001</v>
      </c>
      <c r="E19" s="394">
        <f>E10+E14+E16+E17+1+1</f>
        <v>12951767.375</v>
      </c>
      <c r="F19" s="425">
        <f t="shared" si="2"/>
        <v>14428650.868749999</v>
      </c>
      <c r="G19" s="432">
        <f t="shared" si="2"/>
        <v>17447997.938437499</v>
      </c>
      <c r="H19" s="425">
        <f t="shared" si="2"/>
        <v>20606083.847671874</v>
      </c>
      <c r="I19" s="425">
        <f t="shared" si="2"/>
        <v>24676051.370521091</v>
      </c>
    </row>
    <row r="20" spans="1:9" x14ac:dyDescent="0.35">
      <c r="A20" s="417"/>
      <c r="B20" s="407"/>
      <c r="C20" s="392"/>
      <c r="D20" s="392"/>
      <c r="E20" s="393"/>
      <c r="F20" s="426"/>
      <c r="G20" s="433"/>
      <c r="H20" s="426"/>
      <c r="I20" s="387"/>
    </row>
    <row r="21" spans="1:9" x14ac:dyDescent="0.35">
      <c r="A21" s="412" t="s">
        <v>369</v>
      </c>
      <c r="B21" s="408"/>
      <c r="C21" s="396"/>
      <c r="D21" s="396"/>
      <c r="E21" s="397"/>
      <c r="F21" s="427"/>
      <c r="G21" s="434"/>
      <c r="H21" s="427"/>
      <c r="I21" s="387"/>
    </row>
    <row r="22" spans="1:9" x14ac:dyDescent="0.35">
      <c r="A22" s="413" t="s">
        <v>370</v>
      </c>
      <c r="B22" s="408"/>
      <c r="C22" s="396"/>
      <c r="D22" s="396"/>
      <c r="E22" s="397"/>
      <c r="F22" s="427"/>
      <c r="G22" s="434"/>
      <c r="H22" s="427"/>
      <c r="I22" s="387"/>
    </row>
    <row r="23" spans="1:9" x14ac:dyDescent="0.35">
      <c r="A23" s="414" t="s">
        <v>371</v>
      </c>
      <c r="B23" s="406"/>
      <c r="C23" s="391"/>
      <c r="D23" s="391"/>
      <c r="E23" s="394"/>
      <c r="F23" s="425"/>
      <c r="G23" s="432"/>
      <c r="H23" s="425"/>
      <c r="I23" s="387"/>
    </row>
    <row r="24" spans="1:9" x14ac:dyDescent="0.35">
      <c r="A24" s="414" t="s">
        <v>372</v>
      </c>
      <c r="B24" s="407"/>
      <c r="C24" s="392"/>
      <c r="D24" s="392"/>
      <c r="E24" s="393"/>
      <c r="F24" s="426"/>
      <c r="G24" s="433"/>
      <c r="H24" s="426"/>
      <c r="I24" s="387"/>
    </row>
    <row r="25" spans="1:9" x14ac:dyDescent="0.35">
      <c r="A25" s="414" t="s">
        <v>59</v>
      </c>
      <c r="B25" s="406"/>
      <c r="C25" s="391"/>
      <c r="D25" s="391"/>
      <c r="E25" s="394" t="e">
        <f>'11.CL'!C6</f>
        <v>#REF!</v>
      </c>
      <c r="F25" s="425" t="e">
        <f>'11.CL'!D6</f>
        <v>#REF!</v>
      </c>
      <c r="G25" s="432" t="e">
        <f>'11.CL'!E6</f>
        <v>#REF!</v>
      </c>
      <c r="H25" s="425" t="e">
        <f>'11.CL'!F6</f>
        <v>#REF!</v>
      </c>
      <c r="I25" s="425" t="e">
        <f>'11.CL'!G6</f>
        <v>#REF!</v>
      </c>
    </row>
    <row r="26" spans="1:9" x14ac:dyDescent="0.35">
      <c r="A26" s="413" t="s">
        <v>373</v>
      </c>
      <c r="B26" s="406">
        <f t="shared" ref="B26:I26" si="3">SUM(B23:B25)</f>
        <v>0</v>
      </c>
      <c r="C26" s="391">
        <f t="shared" si="3"/>
        <v>0</v>
      </c>
      <c r="D26" s="391">
        <f t="shared" si="3"/>
        <v>0</v>
      </c>
      <c r="E26" s="394" t="e">
        <f t="shared" si="3"/>
        <v>#REF!</v>
      </c>
      <c r="F26" s="425" t="e">
        <f t="shared" si="3"/>
        <v>#REF!</v>
      </c>
      <c r="G26" s="432" t="e">
        <f t="shared" si="3"/>
        <v>#REF!</v>
      </c>
      <c r="H26" s="425" t="e">
        <f t="shared" si="3"/>
        <v>#REF!</v>
      </c>
      <c r="I26" s="425" t="e">
        <f t="shared" si="3"/>
        <v>#REF!</v>
      </c>
    </row>
    <row r="27" spans="1:9" x14ac:dyDescent="0.35">
      <c r="A27" s="413" t="s">
        <v>374</v>
      </c>
      <c r="B27" s="406">
        <f>'[2]4.TL repayment sch'!G24</f>
        <v>3450539.9994959892</v>
      </c>
      <c r="C27" s="391">
        <f>'[2]4.TL repayment sch'!G36</f>
        <v>3319163.5901189349</v>
      </c>
      <c r="D27" s="391">
        <f>'[2]4.TL repayment sch'!G48</f>
        <v>2756171.242192768</v>
      </c>
      <c r="E27" s="394">
        <v>0</v>
      </c>
      <c r="F27" s="425">
        <v>0</v>
      </c>
      <c r="G27" s="432">
        <v>0</v>
      </c>
      <c r="H27" s="425">
        <f>'[2]4.TL repayment sch'!H84</f>
        <v>0</v>
      </c>
      <c r="I27" s="387">
        <v>0</v>
      </c>
    </row>
    <row r="28" spans="1:9" x14ac:dyDescent="0.35">
      <c r="A28" s="413" t="s">
        <v>375</v>
      </c>
      <c r="B28" s="406"/>
      <c r="C28" s="391"/>
      <c r="D28" s="391"/>
      <c r="E28" s="394"/>
      <c r="F28" s="425"/>
      <c r="G28" s="432"/>
      <c r="H28" s="425"/>
      <c r="I28" s="387"/>
    </row>
    <row r="29" spans="1:9" x14ac:dyDescent="0.35">
      <c r="A29" s="413"/>
      <c r="B29" s="409"/>
      <c r="C29" s="398"/>
      <c r="D29" s="398"/>
      <c r="E29" s="399"/>
      <c r="F29" s="428"/>
      <c r="G29" s="435"/>
      <c r="H29" s="428"/>
      <c r="I29" s="387"/>
    </row>
    <row r="30" spans="1:9" x14ac:dyDescent="0.35">
      <c r="A30" s="415" t="s">
        <v>376</v>
      </c>
      <c r="B30" s="406">
        <f t="shared" ref="B30:I30" si="4">SUM(B26:B28)</f>
        <v>3450539.9994959892</v>
      </c>
      <c r="C30" s="391">
        <f t="shared" si="4"/>
        <v>3319163.5901189349</v>
      </c>
      <c r="D30" s="391">
        <f t="shared" si="4"/>
        <v>2756171.242192768</v>
      </c>
      <c r="E30" s="394" t="e">
        <f t="shared" si="4"/>
        <v>#REF!</v>
      </c>
      <c r="F30" s="425" t="e">
        <f t="shared" si="4"/>
        <v>#REF!</v>
      </c>
      <c r="G30" s="432" t="e">
        <f t="shared" si="4"/>
        <v>#REF!</v>
      </c>
      <c r="H30" s="425" t="e">
        <f t="shared" si="4"/>
        <v>#REF!</v>
      </c>
      <c r="I30" s="425" t="e">
        <f t="shared" si="4"/>
        <v>#REF!</v>
      </c>
    </row>
    <row r="31" spans="1:9" x14ac:dyDescent="0.35">
      <c r="A31" s="414" t="s">
        <v>377</v>
      </c>
      <c r="B31" s="407"/>
      <c r="C31" s="392"/>
      <c r="D31" s="392"/>
      <c r="E31" s="393">
        <v>1000000</v>
      </c>
      <c r="F31" s="393">
        <v>1000000</v>
      </c>
      <c r="G31" s="393">
        <v>1000000</v>
      </c>
      <c r="H31" s="393">
        <v>1000000</v>
      </c>
      <c r="I31" s="393">
        <v>1000000</v>
      </c>
    </row>
    <row r="32" spans="1:9" x14ac:dyDescent="0.35">
      <c r="A32" s="414" t="s">
        <v>190</v>
      </c>
      <c r="B32" s="407">
        <f>'[2]1.Project Cost and MOF'!E26</f>
        <v>0</v>
      </c>
      <c r="C32" s="392">
        <f t="shared" ref="C32:D33" si="5">B32</f>
        <v>0</v>
      </c>
      <c r="D32" s="392">
        <f t="shared" si="5"/>
        <v>0</v>
      </c>
      <c r="E32" s="393" t="e">
        <f>#REF!+0</f>
        <v>#REF!</v>
      </c>
      <c r="F32" s="426" t="e">
        <f>E32+0</f>
        <v>#REF!</v>
      </c>
      <c r="G32" s="433" t="e">
        <f>E32+0</f>
        <v>#REF!</v>
      </c>
      <c r="H32" s="426" t="e">
        <f>E32+0</f>
        <v>#REF!</v>
      </c>
      <c r="I32" s="400" t="e">
        <f>E32+0</f>
        <v>#REF!</v>
      </c>
    </row>
    <row r="33" spans="1:9" x14ac:dyDescent="0.35">
      <c r="A33" s="414" t="s">
        <v>378</v>
      </c>
      <c r="B33" s="407">
        <f>'[2]1.Project Cost and MOF'!E24</f>
        <v>9752798.1896438356</v>
      </c>
      <c r="C33" s="392">
        <f t="shared" si="5"/>
        <v>9752798.1896438356</v>
      </c>
      <c r="D33" s="392">
        <f t="shared" si="5"/>
        <v>9752798.1896438356</v>
      </c>
      <c r="E33" s="393" t="e">
        <f>#REF!+0</f>
        <v>#REF!</v>
      </c>
      <c r="F33" s="426" t="e">
        <f>E33+0</f>
        <v>#REF!</v>
      </c>
      <c r="G33" s="433" t="e">
        <f>E33+0</f>
        <v>#REF!</v>
      </c>
      <c r="H33" s="426" t="e">
        <f>E33+0</f>
        <v>#REF!</v>
      </c>
      <c r="I33" s="400" t="e">
        <f>E33+0</f>
        <v>#REF!</v>
      </c>
    </row>
    <row r="34" spans="1:9" x14ac:dyDescent="0.35">
      <c r="A34" s="413" t="s">
        <v>379</v>
      </c>
      <c r="B34" s="407"/>
      <c r="C34" s="392"/>
      <c r="D34" s="392"/>
      <c r="E34" s="393"/>
      <c r="F34" s="426"/>
      <c r="G34" s="433"/>
      <c r="H34" s="426"/>
      <c r="I34" s="387"/>
    </row>
    <row r="35" spans="1:9" x14ac:dyDescent="0.35">
      <c r="A35" s="414" t="s">
        <v>380</v>
      </c>
      <c r="B35" s="407">
        <v>0</v>
      </c>
      <c r="C35" s="392">
        <f t="shared" ref="C35:I35" si="6">B38</f>
        <v>0</v>
      </c>
      <c r="D35" s="392">
        <f t="shared" si="6"/>
        <v>0</v>
      </c>
      <c r="E35" s="393">
        <f t="shared" si="6"/>
        <v>0</v>
      </c>
      <c r="F35" s="426">
        <f t="shared" si="6"/>
        <v>-1243754.1033646194</v>
      </c>
      <c r="G35" s="433">
        <f t="shared" si="6"/>
        <v>233128.67970107216</v>
      </c>
      <c r="H35" s="426">
        <f t="shared" si="6"/>
        <v>3252476.5098525109</v>
      </c>
      <c r="I35" s="426">
        <f t="shared" si="6"/>
        <v>6410561.4958299818</v>
      </c>
    </row>
    <row r="36" spans="1:9" x14ac:dyDescent="0.35">
      <c r="A36" s="414" t="s">
        <v>381</v>
      </c>
      <c r="B36" s="407">
        <f>'[2]6.Cons Profit &amp; Loss'!B44</f>
        <v>0</v>
      </c>
      <c r="C36" s="392">
        <f>'[2]6.Cons Profit &amp; Loss'!C42</f>
        <v>0</v>
      </c>
      <c r="D36" s="392">
        <f>'[2]6.Cons Profit &amp; Loss'!D42</f>
        <v>0</v>
      </c>
      <c r="E36" s="393">
        <f>'3. profitability'!E50+0</f>
        <v>-1243754.1033646194</v>
      </c>
      <c r="F36" s="426">
        <f>'3. profitability'!F50+0</f>
        <v>1476882.7830656916</v>
      </c>
      <c r="G36" s="433">
        <f>'3. profitability'!G50+0</f>
        <v>3019347.8301514387</v>
      </c>
      <c r="H36" s="426">
        <f>'3. profitability'!H50+0</f>
        <v>3158084.9859774709</v>
      </c>
      <c r="I36" s="426">
        <f>'3. profitability'!I50+0</f>
        <v>4069967.8918713182</v>
      </c>
    </row>
    <row r="37" spans="1:9" x14ac:dyDescent="0.35">
      <c r="A37" s="414" t="s">
        <v>382</v>
      </c>
      <c r="B37" s="407"/>
      <c r="C37" s="392"/>
      <c r="D37" s="392"/>
      <c r="E37" s="393"/>
      <c r="F37" s="426"/>
      <c r="G37" s="433"/>
      <c r="H37" s="426"/>
      <c r="I37" s="387"/>
    </row>
    <row r="38" spans="1:9" x14ac:dyDescent="0.35">
      <c r="A38" s="413" t="s">
        <v>383</v>
      </c>
      <c r="B38" s="407">
        <f t="shared" ref="B38:I38" si="7">B35+B36-B37</f>
        <v>0</v>
      </c>
      <c r="C38" s="392">
        <f t="shared" si="7"/>
        <v>0</v>
      </c>
      <c r="D38" s="392">
        <f t="shared" si="7"/>
        <v>0</v>
      </c>
      <c r="E38" s="393">
        <f t="shared" si="7"/>
        <v>-1243754.1033646194</v>
      </c>
      <c r="F38" s="426">
        <f t="shared" si="7"/>
        <v>233128.67970107216</v>
      </c>
      <c r="G38" s="433">
        <f t="shared" si="7"/>
        <v>3252476.5098525109</v>
      </c>
      <c r="H38" s="426">
        <f t="shared" si="7"/>
        <v>6410561.4958299818</v>
      </c>
      <c r="I38" s="426">
        <f t="shared" si="7"/>
        <v>10480529.387701299</v>
      </c>
    </row>
    <row r="39" spans="1:9" x14ac:dyDescent="0.35">
      <c r="A39" s="414"/>
      <c r="B39" s="408"/>
      <c r="C39" s="396"/>
      <c r="D39" s="396"/>
      <c r="E39" s="397"/>
      <c r="F39" s="427"/>
      <c r="G39" s="434"/>
      <c r="H39" s="427"/>
      <c r="I39" s="387"/>
    </row>
    <row r="40" spans="1:9" x14ac:dyDescent="0.35">
      <c r="A40" s="418" t="s">
        <v>384</v>
      </c>
      <c r="B40" s="410">
        <f t="shared" ref="B40:D40" si="8">B32+B38+B33</f>
        <v>9752798.1896438356</v>
      </c>
      <c r="C40" s="401">
        <f t="shared" si="8"/>
        <v>9752798.1896438356</v>
      </c>
      <c r="D40" s="401">
        <f t="shared" si="8"/>
        <v>9752798.1896438356</v>
      </c>
      <c r="E40" s="402" t="e">
        <f>SUM(E31:E37)</f>
        <v>#REF!</v>
      </c>
      <c r="F40" s="402" t="e">
        <f t="shared" ref="F40:I40" si="9">SUM(F31:F37)</f>
        <v>#REF!</v>
      </c>
      <c r="G40" s="402" t="e">
        <f t="shared" si="9"/>
        <v>#REF!</v>
      </c>
      <c r="H40" s="402" t="e">
        <f t="shared" si="9"/>
        <v>#REF!</v>
      </c>
      <c r="I40" s="402" t="e">
        <f t="shared" si="9"/>
        <v>#REF!</v>
      </c>
    </row>
    <row r="41" spans="1:9" x14ac:dyDescent="0.35">
      <c r="A41" s="417"/>
      <c r="B41" s="407"/>
      <c r="C41" s="392"/>
      <c r="D41" s="392"/>
      <c r="E41" s="393"/>
      <c r="F41" s="426"/>
      <c r="G41" s="433"/>
      <c r="H41" s="426"/>
      <c r="I41" s="387"/>
    </row>
    <row r="42" spans="1:9" x14ac:dyDescent="0.35">
      <c r="A42" s="415" t="s">
        <v>385</v>
      </c>
      <c r="B42" s="406">
        <f t="shared" ref="B42:I42" si="10">B30+B40</f>
        <v>13203338.189139824</v>
      </c>
      <c r="C42" s="391">
        <f t="shared" si="10"/>
        <v>13071961.779762771</v>
      </c>
      <c r="D42" s="391">
        <f t="shared" si="10"/>
        <v>12508969.431836603</v>
      </c>
      <c r="E42" s="394" t="e">
        <f t="shared" si="10"/>
        <v>#REF!</v>
      </c>
      <c r="F42" s="425" t="e">
        <f t="shared" si="10"/>
        <v>#REF!</v>
      </c>
      <c r="G42" s="432" t="e">
        <f t="shared" si="10"/>
        <v>#REF!</v>
      </c>
      <c r="H42" s="425" t="e">
        <f t="shared" si="10"/>
        <v>#REF!</v>
      </c>
      <c r="I42" s="438" t="e">
        <f t="shared" si="10"/>
        <v>#REF!</v>
      </c>
    </row>
    <row r="43" spans="1:9" x14ac:dyDescent="0.35">
      <c r="A43" s="136"/>
      <c r="B43" s="137"/>
      <c r="C43" s="137"/>
      <c r="D43" s="137"/>
      <c r="E43" s="137"/>
      <c r="F43" s="137"/>
      <c r="G43" s="137"/>
      <c r="H43" s="145"/>
      <c r="I43" s="148"/>
    </row>
    <row r="44" spans="1:9" x14ac:dyDescent="0.35">
      <c r="A44" s="138" t="s">
        <v>386</v>
      </c>
      <c r="B44" s="139"/>
      <c r="C44" s="139"/>
      <c r="D44" s="139"/>
      <c r="E44" s="139"/>
      <c r="F44" s="139"/>
      <c r="G44" s="139"/>
      <c r="H44" s="146"/>
      <c r="I44" s="148"/>
    </row>
    <row r="45" spans="1:9" x14ac:dyDescent="0.35">
      <c r="A45" s="140" t="s">
        <v>387</v>
      </c>
      <c r="B45" s="141">
        <f t="shared" ref="B45:I45" si="11">B42-B19</f>
        <v>3683458.329139825</v>
      </c>
      <c r="C45" s="141">
        <f t="shared" si="11"/>
        <v>4008002.0597627722</v>
      </c>
      <c r="D45" s="141">
        <f t="shared" si="11"/>
        <v>3900929.8518366031</v>
      </c>
      <c r="E45" s="141" t="e">
        <f t="shared" si="11"/>
        <v>#REF!</v>
      </c>
      <c r="F45" s="141" t="e">
        <f t="shared" si="11"/>
        <v>#REF!</v>
      </c>
      <c r="G45" s="141" t="e">
        <f t="shared" si="11"/>
        <v>#REF!</v>
      </c>
      <c r="H45" s="147" t="e">
        <f t="shared" si="11"/>
        <v>#REF!</v>
      </c>
      <c r="I45" s="147" t="e">
        <f t="shared" si="11"/>
        <v>#REF!</v>
      </c>
    </row>
    <row r="46" spans="1:9" x14ac:dyDescent="0.35">
      <c r="A46" s="140"/>
      <c r="B46" s="141"/>
      <c r="C46" s="141"/>
      <c r="D46" s="141"/>
    </row>
    <row r="47" spans="1:9" ht="18.600000000000001" thickBot="1" x14ac:dyDescent="0.4">
      <c r="A47" s="142"/>
      <c r="B47" s="143"/>
      <c r="C47" s="143"/>
      <c r="D47" s="143"/>
      <c r="E47" s="143"/>
      <c r="F47" s="143"/>
      <c r="G47" s="143"/>
      <c r="H47" s="143"/>
      <c r="I47" s="143"/>
    </row>
    <row r="48" spans="1:9" x14ac:dyDescent="0.35">
      <c r="A48" s="135"/>
      <c r="B48" s="144"/>
      <c r="C48" s="144"/>
      <c r="D48" s="144"/>
      <c r="E48" s="144"/>
      <c r="F48" s="144"/>
      <c r="G48" s="144"/>
      <c r="H48" s="144"/>
      <c r="I48" s="135"/>
    </row>
    <row r="49" spans="1:9" x14ac:dyDescent="0.35">
      <c r="A49" s="640" t="s">
        <v>388</v>
      </c>
      <c r="B49" s="641"/>
      <c r="C49" s="641"/>
      <c r="D49" s="641"/>
      <c r="E49" s="641"/>
      <c r="F49" s="641"/>
      <c r="G49" s="641"/>
      <c r="H49" s="641"/>
      <c r="I49" s="641"/>
    </row>
    <row r="50" spans="1:9" x14ac:dyDescent="0.35">
      <c r="A50" s="640" t="s">
        <v>388</v>
      </c>
      <c r="B50" s="641"/>
      <c r="C50" s="641"/>
      <c r="D50" s="641"/>
      <c r="E50" s="641"/>
      <c r="F50" s="641"/>
      <c r="G50" s="641"/>
      <c r="H50" s="641"/>
      <c r="I50" s="641"/>
    </row>
    <row r="51" spans="1:9" x14ac:dyDescent="0.35">
      <c r="B51" s="93"/>
      <c r="C51" s="93"/>
      <c r="D51" s="93"/>
    </row>
    <row r="52" spans="1:9" x14ac:dyDescent="0.35">
      <c r="B52" s="93"/>
      <c r="C52" s="93"/>
      <c r="D52" s="93"/>
    </row>
    <row r="53" spans="1:9" x14ac:dyDescent="0.35">
      <c r="B53" s="93"/>
      <c r="C53" s="93"/>
      <c r="D53" s="93"/>
    </row>
    <row r="54" spans="1:9" x14ac:dyDescent="0.35">
      <c r="B54" s="93"/>
      <c r="C54" s="93"/>
      <c r="D54" s="93"/>
    </row>
    <row r="55" spans="1:9" x14ac:dyDescent="0.35">
      <c r="B55" s="93"/>
      <c r="C55" s="93"/>
      <c r="D55" s="93"/>
    </row>
    <row r="56" spans="1:9" x14ac:dyDescent="0.35">
      <c r="B56" s="93"/>
      <c r="C56" s="93"/>
      <c r="D56" s="93"/>
    </row>
    <row r="57" spans="1:9" x14ac:dyDescent="0.35">
      <c r="B57" s="93"/>
      <c r="C57" s="93"/>
      <c r="D57" s="93"/>
    </row>
    <row r="58" spans="1:9" x14ac:dyDescent="0.35">
      <c r="B58" s="93"/>
      <c r="C58" s="93"/>
      <c r="D58" s="93"/>
    </row>
    <row r="59" spans="1:9" x14ac:dyDescent="0.35">
      <c r="B59" s="93"/>
      <c r="C59" s="93"/>
      <c r="D59" s="93"/>
    </row>
    <row r="60" spans="1:9" x14ac:dyDescent="0.35">
      <c r="B60" s="93"/>
      <c r="C60" s="93"/>
      <c r="D60" s="93"/>
    </row>
    <row r="61" spans="1:9" x14ac:dyDescent="0.35">
      <c r="B61" s="93"/>
      <c r="C61" s="93"/>
      <c r="D61" s="93"/>
    </row>
    <row r="62" spans="1:9" x14ac:dyDescent="0.35">
      <c r="B62" s="93"/>
      <c r="C62" s="93"/>
      <c r="D62" s="93"/>
    </row>
    <row r="63" spans="1:9" x14ac:dyDescent="0.35">
      <c r="B63" s="93"/>
      <c r="C63" s="93"/>
      <c r="D63" s="93"/>
    </row>
    <row r="64" spans="1:9" x14ac:dyDescent="0.35">
      <c r="B64" s="1"/>
      <c r="C64" s="93"/>
      <c r="D64" s="93"/>
    </row>
    <row r="65" spans="2:4" x14ac:dyDescent="0.35">
      <c r="B65" s="1"/>
      <c r="C65" s="1"/>
      <c r="D65" s="1"/>
    </row>
    <row r="66" spans="2:4" x14ac:dyDescent="0.35">
      <c r="B66" s="1"/>
      <c r="C66" s="1"/>
      <c r="D66" s="1"/>
    </row>
    <row r="67" spans="2:4" x14ac:dyDescent="0.35">
      <c r="B67" s="1"/>
      <c r="C67" s="1"/>
      <c r="D67" s="1"/>
    </row>
    <row r="68" spans="2:4" x14ac:dyDescent="0.35">
      <c r="B68" s="1"/>
      <c r="C68" s="1"/>
      <c r="D68" s="1"/>
    </row>
    <row r="69" spans="2:4" x14ac:dyDescent="0.35">
      <c r="B69" s="1"/>
      <c r="C69" s="1"/>
      <c r="D69" s="1"/>
    </row>
    <row r="70" spans="2:4" x14ac:dyDescent="0.35">
      <c r="B70" s="1"/>
      <c r="C70" s="1"/>
      <c r="D70" s="1"/>
    </row>
    <row r="71" spans="2:4" x14ac:dyDescent="0.35">
      <c r="B71" s="1"/>
      <c r="C71" s="1"/>
      <c r="D71" s="1"/>
    </row>
    <row r="72" spans="2:4" x14ac:dyDescent="0.35">
      <c r="B72" s="1"/>
      <c r="C72" s="1"/>
      <c r="D72" s="1"/>
    </row>
    <row r="73" spans="2:4" x14ac:dyDescent="0.35">
      <c r="B73" s="1"/>
      <c r="C73" s="1"/>
      <c r="D73" s="1"/>
    </row>
    <row r="74" spans="2:4" x14ac:dyDescent="0.35">
      <c r="B74" s="1"/>
      <c r="C74" s="1"/>
      <c r="D74" s="1"/>
    </row>
    <row r="75" spans="2:4" x14ac:dyDescent="0.35">
      <c r="B75" s="1"/>
      <c r="C75" s="1"/>
      <c r="D75" s="1"/>
    </row>
    <row r="76" spans="2:4" x14ac:dyDescent="0.35">
      <c r="B76" s="1"/>
      <c r="C76" s="1"/>
      <c r="D76" s="1"/>
    </row>
    <row r="77" spans="2:4" x14ac:dyDescent="0.35">
      <c r="B77" s="1"/>
      <c r="C77" s="1"/>
      <c r="D77" s="1"/>
    </row>
    <row r="78" spans="2:4" x14ac:dyDescent="0.35">
      <c r="B78" s="1"/>
      <c r="C78" s="1"/>
      <c r="D78" s="1"/>
    </row>
    <row r="79" spans="2:4" x14ac:dyDescent="0.35">
      <c r="B79" s="1"/>
      <c r="C79" s="1"/>
      <c r="D79" s="1"/>
    </row>
    <row r="80" spans="2:4" x14ac:dyDescent="0.35">
      <c r="B80" s="1"/>
      <c r="C80" s="1"/>
      <c r="D80" s="1"/>
    </row>
    <row r="81" spans="2:4" x14ac:dyDescent="0.35">
      <c r="B81" s="1"/>
      <c r="C81" s="1"/>
      <c r="D81" s="1"/>
    </row>
    <row r="82" spans="2:4" x14ac:dyDescent="0.35">
      <c r="B82" s="1"/>
      <c r="C82" s="1"/>
      <c r="D82" s="1"/>
    </row>
    <row r="83" spans="2:4" x14ac:dyDescent="0.35">
      <c r="B83" s="1"/>
      <c r="C83" s="1"/>
      <c r="D83" s="1"/>
    </row>
    <row r="84" spans="2:4" x14ac:dyDescent="0.35">
      <c r="B84" s="1"/>
      <c r="C84" s="1"/>
      <c r="D84" s="1"/>
    </row>
    <row r="85" spans="2:4" x14ac:dyDescent="0.35">
      <c r="B85" s="1"/>
      <c r="C85" s="1"/>
      <c r="D85" s="1"/>
    </row>
    <row r="86" spans="2:4" x14ac:dyDescent="0.35">
      <c r="B86" s="1"/>
      <c r="C86" s="1"/>
      <c r="D86" s="1"/>
    </row>
    <row r="87" spans="2:4" x14ac:dyDescent="0.35">
      <c r="B87" s="1"/>
      <c r="C87" s="1"/>
      <c r="D87" s="1"/>
    </row>
    <row r="88" spans="2:4" x14ac:dyDescent="0.35">
      <c r="B88" s="1"/>
      <c r="C88" s="1"/>
      <c r="D88" s="1"/>
    </row>
    <row r="89" spans="2:4" x14ac:dyDescent="0.35">
      <c r="B89" s="1"/>
      <c r="C89" s="1"/>
      <c r="D89" s="1"/>
    </row>
    <row r="90" spans="2:4" x14ac:dyDescent="0.35">
      <c r="B90" s="1"/>
      <c r="C90" s="1"/>
      <c r="D90" s="1"/>
    </row>
    <row r="91" spans="2:4" x14ac:dyDescent="0.35">
      <c r="B91" s="1"/>
      <c r="C91" s="1"/>
      <c r="D91" s="1"/>
    </row>
    <row r="92" spans="2:4" x14ac:dyDescent="0.35">
      <c r="B92" s="1"/>
      <c r="C92" s="1"/>
      <c r="D92" s="1"/>
    </row>
    <row r="93" spans="2:4" x14ac:dyDescent="0.35">
      <c r="B93" s="1"/>
      <c r="C93" s="1"/>
      <c r="D93" s="1"/>
    </row>
    <row r="94" spans="2:4" x14ac:dyDescent="0.35">
      <c r="B94" s="1"/>
      <c r="C94" s="1"/>
      <c r="D94" s="1"/>
    </row>
    <row r="95" spans="2:4" x14ac:dyDescent="0.35">
      <c r="B95" s="1"/>
      <c r="C95" s="1"/>
      <c r="D95" s="1"/>
    </row>
    <row r="96" spans="2:4" x14ac:dyDescent="0.35">
      <c r="B96" s="1"/>
      <c r="C96" s="1"/>
      <c r="D96" s="1"/>
    </row>
    <row r="97" spans="2:4" x14ac:dyDescent="0.35">
      <c r="B97" s="1"/>
      <c r="C97" s="1"/>
      <c r="D97" s="1"/>
    </row>
    <row r="98" spans="2:4" x14ac:dyDescent="0.35">
      <c r="B98" s="1"/>
      <c r="C98" s="1"/>
      <c r="D98" s="1"/>
    </row>
    <row r="99" spans="2:4" x14ac:dyDescent="0.35">
      <c r="B99" s="1"/>
      <c r="C99" s="1"/>
      <c r="D99" s="1"/>
    </row>
    <row r="100" spans="2:4" x14ac:dyDescent="0.35">
      <c r="B100" s="1"/>
      <c r="C100" s="1"/>
      <c r="D100" s="1"/>
    </row>
    <row r="101" spans="2:4" x14ac:dyDescent="0.35">
      <c r="B101" s="1"/>
      <c r="C101" s="1"/>
      <c r="D101" s="1"/>
    </row>
    <row r="102" spans="2:4" x14ac:dyDescent="0.35">
      <c r="B102" s="1"/>
      <c r="C102" s="1"/>
      <c r="D102" s="1"/>
    </row>
    <row r="103" spans="2:4" x14ac:dyDescent="0.35">
      <c r="B103" s="1"/>
      <c r="C103" s="1"/>
      <c r="D103" s="1"/>
    </row>
    <row r="104" spans="2:4" x14ac:dyDescent="0.35">
      <c r="B104" s="1"/>
      <c r="C104" s="1"/>
      <c r="D104" s="1"/>
    </row>
    <row r="105" spans="2:4" x14ac:dyDescent="0.35">
      <c r="B105" s="1"/>
      <c r="C105" s="1"/>
      <c r="D105" s="1"/>
    </row>
    <row r="106" spans="2:4" x14ac:dyDescent="0.35">
      <c r="B106" s="1"/>
      <c r="C106" s="1"/>
      <c r="D106" s="1"/>
    </row>
    <row r="107" spans="2:4" x14ac:dyDescent="0.35">
      <c r="B107" s="1"/>
      <c r="C107" s="1"/>
      <c r="D107" s="1"/>
    </row>
    <row r="108" spans="2:4" x14ac:dyDescent="0.35">
      <c r="B108" s="1"/>
      <c r="C108" s="1"/>
      <c r="D108" s="1"/>
    </row>
    <row r="109" spans="2:4" x14ac:dyDescent="0.35">
      <c r="B109" s="1"/>
      <c r="C109" s="1"/>
      <c r="D109" s="1"/>
    </row>
    <row r="110" spans="2:4" x14ac:dyDescent="0.35">
      <c r="B110" s="1"/>
      <c r="C110" s="1"/>
      <c r="D110" s="1"/>
    </row>
    <row r="111" spans="2:4" x14ac:dyDescent="0.35">
      <c r="B111" s="1"/>
      <c r="C111" s="1"/>
      <c r="D111" s="1"/>
    </row>
    <row r="112" spans="2:4" x14ac:dyDescent="0.35">
      <c r="B112" s="1"/>
      <c r="C112" s="1"/>
      <c r="D112" s="1"/>
    </row>
    <row r="113" spans="2:4" x14ac:dyDescent="0.35">
      <c r="B113" s="1"/>
      <c r="C113" s="1"/>
      <c r="D113" s="1"/>
    </row>
    <row r="114" spans="2:4" x14ac:dyDescent="0.35">
      <c r="B114" s="1"/>
      <c r="C114" s="1"/>
      <c r="D114" s="1"/>
    </row>
    <row r="115" spans="2:4" x14ac:dyDescent="0.35">
      <c r="B115" s="1"/>
      <c r="C115" s="1"/>
      <c r="D115" s="1"/>
    </row>
    <row r="116" spans="2:4" x14ac:dyDescent="0.35">
      <c r="B116" s="1"/>
      <c r="C116" s="1"/>
      <c r="D116" s="1"/>
    </row>
    <row r="117" spans="2:4" x14ac:dyDescent="0.35">
      <c r="B117" s="1"/>
      <c r="C117" s="1"/>
      <c r="D117" s="1"/>
    </row>
    <row r="118" spans="2:4" x14ac:dyDescent="0.35">
      <c r="B118" s="1"/>
      <c r="C118" s="1"/>
      <c r="D118" s="1"/>
    </row>
    <row r="119" spans="2:4" x14ac:dyDescent="0.35">
      <c r="B119" s="1"/>
      <c r="C119" s="1"/>
      <c r="D119" s="1"/>
    </row>
    <row r="120" spans="2:4" x14ac:dyDescent="0.35">
      <c r="B120" s="1"/>
      <c r="C120" s="1"/>
      <c r="D120" s="1"/>
    </row>
    <row r="121" spans="2:4" x14ac:dyDescent="0.35">
      <c r="B121" s="1"/>
      <c r="C121" s="1"/>
      <c r="D121" s="1"/>
    </row>
    <row r="122" spans="2:4" x14ac:dyDescent="0.35">
      <c r="B122" s="1"/>
      <c r="C122" s="1"/>
      <c r="D122" s="1"/>
    </row>
    <row r="123" spans="2:4" x14ac:dyDescent="0.35">
      <c r="B123" s="1"/>
      <c r="C123" s="1"/>
      <c r="D123" s="1"/>
    </row>
    <row r="124" spans="2:4" x14ac:dyDescent="0.35">
      <c r="B124" s="1"/>
      <c r="C124" s="1"/>
      <c r="D124" s="1"/>
    </row>
    <row r="125" spans="2:4" x14ac:dyDescent="0.35">
      <c r="B125" s="1"/>
      <c r="C125" s="1"/>
      <c r="D125" s="1"/>
    </row>
    <row r="126" spans="2:4" x14ac:dyDescent="0.35">
      <c r="B126" s="1"/>
      <c r="C126" s="1"/>
      <c r="D126" s="1"/>
    </row>
    <row r="127" spans="2:4" x14ac:dyDescent="0.35">
      <c r="B127" s="1"/>
      <c r="C127" s="1"/>
      <c r="D127" s="1"/>
    </row>
    <row r="128" spans="2:4" x14ac:dyDescent="0.35">
      <c r="B128" s="1"/>
      <c r="C128" s="1"/>
      <c r="D128" s="1"/>
    </row>
    <row r="129" spans="2:4" x14ac:dyDescent="0.35">
      <c r="B129" s="1"/>
      <c r="C129" s="1"/>
      <c r="D129" s="1"/>
    </row>
    <row r="130" spans="2:4" x14ac:dyDescent="0.35">
      <c r="B130" s="1"/>
      <c r="C130" s="1"/>
      <c r="D130" s="1"/>
    </row>
    <row r="131" spans="2:4" x14ac:dyDescent="0.35">
      <c r="B131" s="1"/>
      <c r="C131" s="1"/>
      <c r="D131" s="1"/>
    </row>
    <row r="132" spans="2:4" x14ac:dyDescent="0.35">
      <c r="B132" s="1"/>
      <c r="C132" s="1"/>
      <c r="D132" s="1"/>
    </row>
    <row r="133" spans="2:4" x14ac:dyDescent="0.35">
      <c r="B133" s="1"/>
      <c r="C133" s="1"/>
      <c r="D133" s="1"/>
    </row>
    <row r="134" spans="2:4" x14ac:dyDescent="0.35">
      <c r="B134" s="1"/>
      <c r="C134" s="1"/>
      <c r="D134" s="1"/>
    </row>
    <row r="135" spans="2:4" x14ac:dyDescent="0.35">
      <c r="B135" s="1"/>
      <c r="C135" s="1"/>
      <c r="D135" s="1"/>
    </row>
    <row r="136" spans="2:4" x14ac:dyDescent="0.35">
      <c r="B136" s="1"/>
      <c r="C136" s="1"/>
      <c r="D136" s="1"/>
    </row>
    <row r="137" spans="2:4" x14ac:dyDescent="0.35">
      <c r="B137" s="1"/>
      <c r="C137" s="1"/>
      <c r="D137" s="1"/>
    </row>
    <row r="138" spans="2:4" x14ac:dyDescent="0.35">
      <c r="B138" s="1"/>
      <c r="C138" s="1"/>
      <c r="D138" s="1"/>
    </row>
    <row r="139" spans="2:4" x14ac:dyDescent="0.35">
      <c r="B139" s="1"/>
      <c r="C139" s="1"/>
      <c r="D139" s="1"/>
    </row>
    <row r="140" spans="2:4" x14ac:dyDescent="0.35">
      <c r="B140" s="1"/>
      <c r="C140" s="1"/>
      <c r="D140" s="1"/>
    </row>
    <row r="141" spans="2:4" x14ac:dyDescent="0.35">
      <c r="B141" s="1"/>
      <c r="C141" s="1"/>
      <c r="D141" s="1"/>
    </row>
    <row r="142" spans="2:4" x14ac:dyDescent="0.35">
      <c r="B142" s="1"/>
      <c r="C142" s="1"/>
      <c r="D142" s="1"/>
    </row>
    <row r="143" spans="2:4" x14ac:dyDescent="0.35">
      <c r="B143" s="1"/>
      <c r="C143" s="1"/>
      <c r="D143" s="1"/>
    </row>
    <row r="144" spans="2:4" x14ac:dyDescent="0.35">
      <c r="B144" s="1"/>
      <c r="C144" s="1"/>
      <c r="D144" s="1"/>
    </row>
    <row r="145" spans="2:4" x14ac:dyDescent="0.35">
      <c r="B145" s="1"/>
      <c r="C145" s="1"/>
      <c r="D145" s="1"/>
    </row>
    <row r="146" spans="2:4" x14ac:dyDescent="0.35">
      <c r="B146" s="1"/>
      <c r="C146" s="1"/>
      <c r="D146" s="1"/>
    </row>
    <row r="147" spans="2:4" x14ac:dyDescent="0.35">
      <c r="B147" s="1"/>
      <c r="C147" s="1"/>
      <c r="D147" s="1"/>
    </row>
    <row r="148" spans="2:4" x14ac:dyDescent="0.35">
      <c r="B148" s="1"/>
      <c r="C148" s="1"/>
      <c r="D148" s="1"/>
    </row>
    <row r="149" spans="2:4" x14ac:dyDescent="0.35">
      <c r="B149" s="1"/>
      <c r="C149" s="1"/>
      <c r="D149" s="1"/>
    </row>
    <row r="150" spans="2:4" x14ac:dyDescent="0.35">
      <c r="B150" s="1"/>
      <c r="C150" s="1"/>
      <c r="D150" s="1"/>
    </row>
    <row r="151" spans="2:4" x14ac:dyDescent="0.35">
      <c r="B151" s="1"/>
      <c r="C151" s="1"/>
      <c r="D151" s="1"/>
    </row>
    <row r="152" spans="2:4" x14ac:dyDescent="0.35">
      <c r="B152" s="1"/>
      <c r="C152" s="1"/>
      <c r="D152" s="1"/>
    </row>
    <row r="153" spans="2:4" x14ac:dyDescent="0.35">
      <c r="B153" s="1"/>
      <c r="C153" s="1"/>
      <c r="D153" s="1"/>
    </row>
    <row r="154" spans="2:4" x14ac:dyDescent="0.35">
      <c r="B154" s="1"/>
      <c r="C154" s="1"/>
      <c r="D154" s="1"/>
    </row>
    <row r="155" spans="2:4" x14ac:dyDescent="0.35">
      <c r="B155" s="1"/>
      <c r="C155" s="1"/>
      <c r="D155" s="1"/>
    </row>
    <row r="156" spans="2:4" x14ac:dyDescent="0.35">
      <c r="B156" s="1"/>
      <c r="C156" s="1"/>
      <c r="D156" s="1"/>
    </row>
    <row r="157" spans="2:4" x14ac:dyDescent="0.35">
      <c r="B157" s="1"/>
      <c r="C157" s="1"/>
      <c r="D157" s="1"/>
    </row>
    <row r="158" spans="2:4" x14ac:dyDescent="0.35">
      <c r="B158" s="1"/>
      <c r="C158" s="1"/>
      <c r="D158" s="1"/>
    </row>
    <row r="159" spans="2:4" x14ac:dyDescent="0.35">
      <c r="B159" s="1"/>
      <c r="C159" s="1"/>
      <c r="D159" s="1"/>
    </row>
    <row r="160" spans="2:4" x14ac:dyDescent="0.35">
      <c r="B160" s="1"/>
      <c r="C160" s="1"/>
      <c r="D160" s="1"/>
    </row>
    <row r="161" spans="2:4" x14ac:dyDescent="0.35">
      <c r="B161" s="1"/>
      <c r="C161" s="1"/>
      <c r="D161" s="1"/>
    </row>
    <row r="162" spans="2:4" x14ac:dyDescent="0.35">
      <c r="B162" s="1"/>
      <c r="C162" s="1"/>
      <c r="D162" s="1"/>
    </row>
    <row r="163" spans="2:4" x14ac:dyDescent="0.35">
      <c r="B163" s="1"/>
      <c r="C163" s="1"/>
      <c r="D163" s="1"/>
    </row>
    <row r="164" spans="2:4" x14ac:dyDescent="0.35">
      <c r="B164" s="1"/>
      <c r="C164" s="1"/>
      <c r="D164" s="1"/>
    </row>
    <row r="165" spans="2:4" x14ac:dyDescent="0.35">
      <c r="B165" s="1"/>
      <c r="C165" s="1"/>
      <c r="D165" s="1"/>
    </row>
    <row r="166" spans="2:4" x14ac:dyDescent="0.35">
      <c r="B166" s="1"/>
      <c r="C166" s="1"/>
      <c r="D166" s="1"/>
    </row>
    <row r="167" spans="2:4" x14ac:dyDescent="0.35">
      <c r="B167" s="1"/>
      <c r="C167" s="1"/>
      <c r="D167" s="1"/>
    </row>
    <row r="168" spans="2:4" x14ac:dyDescent="0.35">
      <c r="B168" s="1"/>
      <c r="C168" s="1"/>
      <c r="D168" s="1"/>
    </row>
    <row r="169" spans="2:4" x14ac:dyDescent="0.35">
      <c r="B169" s="1"/>
      <c r="C169" s="1"/>
      <c r="D169" s="1"/>
    </row>
    <row r="170" spans="2:4" x14ac:dyDescent="0.35">
      <c r="B170" s="1"/>
      <c r="C170" s="1"/>
      <c r="D170" s="1"/>
    </row>
    <row r="171" spans="2:4" x14ac:dyDescent="0.35">
      <c r="B171" s="1"/>
      <c r="C171" s="1"/>
      <c r="D171" s="1"/>
    </row>
    <row r="172" spans="2:4" x14ac:dyDescent="0.35">
      <c r="B172" s="1"/>
      <c r="C172" s="1"/>
      <c r="D172" s="1"/>
    </row>
    <row r="173" spans="2:4" x14ac:dyDescent="0.35">
      <c r="B173" s="1"/>
      <c r="C173" s="1"/>
      <c r="D173" s="1"/>
    </row>
    <row r="174" spans="2:4" x14ac:dyDescent="0.35">
      <c r="B174" s="1"/>
      <c r="C174" s="1"/>
      <c r="D174" s="1"/>
    </row>
    <row r="175" spans="2:4" x14ac:dyDescent="0.35">
      <c r="B175" s="1"/>
      <c r="C175" s="1"/>
      <c r="D175" s="1"/>
    </row>
    <row r="176" spans="2:4" x14ac:dyDescent="0.35">
      <c r="B176" s="1"/>
      <c r="C176" s="1"/>
      <c r="D176" s="1"/>
    </row>
    <row r="177" spans="2:4" x14ac:dyDescent="0.35">
      <c r="B177" s="1"/>
      <c r="C177" s="1"/>
      <c r="D177" s="1"/>
    </row>
    <row r="178" spans="2:4" x14ac:dyDescent="0.35">
      <c r="B178" s="1"/>
      <c r="C178" s="1"/>
      <c r="D178" s="1"/>
    </row>
    <row r="179" spans="2:4" x14ac:dyDescent="0.35">
      <c r="B179" s="1"/>
      <c r="C179" s="1"/>
      <c r="D179" s="1"/>
    </row>
    <row r="180" spans="2:4" x14ac:dyDescent="0.35">
      <c r="B180" s="1"/>
      <c r="C180" s="1"/>
      <c r="D180" s="1"/>
    </row>
    <row r="181" spans="2:4" x14ac:dyDescent="0.35">
      <c r="B181" s="1"/>
      <c r="C181" s="1"/>
      <c r="D181" s="1"/>
    </row>
    <row r="182" spans="2:4" x14ac:dyDescent="0.35">
      <c r="B182" s="1"/>
      <c r="C182" s="1"/>
      <c r="D182" s="1"/>
    </row>
    <row r="183" spans="2:4" x14ac:dyDescent="0.35">
      <c r="B183" s="1"/>
      <c r="C183" s="1"/>
      <c r="D183" s="1"/>
    </row>
    <row r="184" spans="2:4" x14ac:dyDescent="0.35">
      <c r="B184" s="1"/>
      <c r="C184" s="1"/>
      <c r="D184" s="1"/>
    </row>
    <row r="185" spans="2:4" x14ac:dyDescent="0.35">
      <c r="B185" s="1"/>
      <c r="C185" s="1"/>
      <c r="D185" s="1"/>
    </row>
    <row r="186" spans="2:4" x14ac:dyDescent="0.35">
      <c r="B186" s="1"/>
      <c r="C186" s="1"/>
      <c r="D186" s="1"/>
    </row>
    <row r="187" spans="2:4" x14ac:dyDescent="0.35">
      <c r="B187" s="1"/>
      <c r="C187" s="1"/>
      <c r="D187" s="1"/>
    </row>
    <row r="188" spans="2:4" x14ac:dyDescent="0.35">
      <c r="B188" s="1"/>
      <c r="C188" s="1"/>
      <c r="D188" s="1"/>
    </row>
    <row r="189" spans="2:4" x14ac:dyDescent="0.35">
      <c r="B189" s="1"/>
      <c r="C189" s="1"/>
      <c r="D189" s="1"/>
    </row>
    <row r="190" spans="2:4" x14ac:dyDescent="0.35">
      <c r="B190" s="1"/>
      <c r="C190" s="1"/>
      <c r="D190" s="1"/>
    </row>
    <row r="191" spans="2:4" x14ac:dyDescent="0.35">
      <c r="B191" s="1"/>
      <c r="C191" s="1"/>
      <c r="D191" s="1"/>
    </row>
    <row r="192" spans="2:4" x14ac:dyDescent="0.35">
      <c r="B192" s="1"/>
      <c r="C192" s="1"/>
      <c r="D192" s="1"/>
    </row>
    <row r="193" spans="2:4" x14ac:dyDescent="0.35">
      <c r="B193" s="1"/>
      <c r="C193" s="1"/>
      <c r="D193" s="1"/>
    </row>
    <row r="194" spans="2:4" x14ac:dyDescent="0.35">
      <c r="B194" s="1"/>
      <c r="C194" s="1"/>
      <c r="D194" s="1"/>
    </row>
    <row r="195" spans="2:4" x14ac:dyDescent="0.35">
      <c r="B195" s="1"/>
      <c r="C195" s="1"/>
      <c r="D195" s="1"/>
    </row>
    <row r="196" spans="2:4" x14ac:dyDescent="0.35">
      <c r="B196" s="1"/>
      <c r="C196" s="1"/>
      <c r="D196" s="1"/>
    </row>
    <row r="197" spans="2:4" x14ac:dyDescent="0.35">
      <c r="B197" s="1"/>
      <c r="C197" s="1"/>
      <c r="D197" s="1"/>
    </row>
    <row r="198" spans="2:4" x14ac:dyDescent="0.35">
      <c r="B198" s="1"/>
      <c r="C198" s="1"/>
      <c r="D198" s="1"/>
    </row>
    <row r="199" spans="2:4" x14ac:dyDescent="0.35">
      <c r="B199" s="1"/>
      <c r="C199" s="1"/>
      <c r="D199" s="1"/>
    </row>
    <row r="200" spans="2:4" x14ac:dyDescent="0.35">
      <c r="C200" s="1"/>
      <c r="D200" s="1"/>
    </row>
  </sheetData>
  <mergeCells count="3">
    <mergeCell ref="A1:H1"/>
    <mergeCell ref="A50:I50"/>
    <mergeCell ref="A49:I49"/>
  </mergeCells>
  <phoneticPr fontId="0" type="noConversion"/>
  <conditionalFormatting sqref="B37:H37">
    <cfRule type="cellIs" dxfId="1" priority="3" operator="lessThan">
      <formula>0</formula>
    </cfRule>
  </conditionalFormatting>
  <conditionalFormatting sqref="B35:I36">
    <cfRule type="cellIs" dxfId="0" priority="1" operator="lessThan">
      <formula>0</formula>
    </cfRule>
  </conditionalFormatting>
  <printOptions horizontalCentered="1" verticalCentered="1"/>
  <pageMargins left="0.51181102362204722" right="0.51181102362204722" top="0.51181102362204722" bottom="0.51181102362204722" header="0" footer="0"/>
  <pageSetup paperSize="9" scale="7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H32"/>
  <sheetViews>
    <sheetView topLeftCell="A13" workbookViewId="0">
      <selection activeCell="J31" sqref="J31"/>
    </sheetView>
  </sheetViews>
  <sheetFormatPr defaultRowHeight="13.2" x14ac:dyDescent="0.25"/>
  <cols>
    <col min="1" max="1" width="5.6640625" customWidth="1"/>
    <col min="2" max="2" width="22.109375" customWidth="1"/>
    <col min="3" max="3" width="13.109375" bestFit="1" customWidth="1"/>
    <col min="4" max="5" width="14" bestFit="1" customWidth="1"/>
    <col min="6" max="7" width="15.109375" bestFit="1" customWidth="1"/>
  </cols>
  <sheetData>
    <row r="3" spans="1:8" ht="17.399999999999999" x14ac:dyDescent="0.3">
      <c r="A3" s="642" t="s">
        <v>327</v>
      </c>
      <c r="B3" s="641"/>
      <c r="C3" s="641"/>
      <c r="D3" s="641"/>
      <c r="E3" s="641"/>
      <c r="F3" s="641"/>
      <c r="G3" s="641"/>
    </row>
    <row r="4" spans="1:8" ht="14.4" x14ac:dyDescent="0.3">
      <c r="A4" s="439"/>
      <c r="B4" s="439"/>
      <c r="C4" s="439"/>
      <c r="D4" s="439"/>
      <c r="E4" s="439"/>
      <c r="F4" s="204" t="s">
        <v>119</v>
      </c>
      <c r="G4" s="439"/>
      <c r="H4" s="128"/>
    </row>
    <row r="5" spans="1:8" x14ac:dyDescent="0.25">
      <c r="A5" s="439"/>
      <c r="B5" s="439"/>
      <c r="C5" s="439">
        <v>1</v>
      </c>
      <c r="D5" s="439">
        <v>2</v>
      </c>
      <c r="E5" s="439">
        <v>3</v>
      </c>
      <c r="F5" s="439">
        <v>4</v>
      </c>
      <c r="G5" s="439">
        <v>5</v>
      </c>
    </row>
    <row r="6" spans="1:8" x14ac:dyDescent="0.25">
      <c r="A6" s="440" t="s">
        <v>328</v>
      </c>
      <c r="B6" s="440" t="s">
        <v>0</v>
      </c>
      <c r="C6" s="441" t="s">
        <v>306</v>
      </c>
      <c r="D6" s="441" t="s">
        <v>307</v>
      </c>
      <c r="E6" s="441" t="s">
        <v>308</v>
      </c>
      <c r="F6" s="441" t="s">
        <v>309</v>
      </c>
      <c r="G6" s="441" t="s">
        <v>310</v>
      </c>
    </row>
    <row r="7" spans="1:8" x14ac:dyDescent="0.25">
      <c r="A7" s="442">
        <v>1</v>
      </c>
      <c r="B7" s="442" t="s">
        <v>329</v>
      </c>
      <c r="C7" s="443"/>
      <c r="D7" s="443"/>
      <c r="E7" s="443"/>
      <c r="F7" s="443"/>
      <c r="G7" s="443"/>
    </row>
    <row r="8" spans="1:8" x14ac:dyDescent="0.25">
      <c r="A8" s="442"/>
      <c r="B8" s="444" t="s">
        <v>330</v>
      </c>
      <c r="C8" s="443">
        <f>'3. profitability'!E14+0</f>
        <v>1500000</v>
      </c>
      <c r="D8" s="443">
        <f>'3. profitability'!F14+0</f>
        <v>68038850</v>
      </c>
      <c r="E8" s="443">
        <f>'3. profitability'!G14+0</f>
        <v>74846065</v>
      </c>
      <c r="F8" s="443">
        <f>'3. profitability'!H14+0</f>
        <v>82420426</v>
      </c>
      <c r="G8" s="443">
        <f>'3. profitability'!I14+0</f>
        <v>91141259.239999995</v>
      </c>
    </row>
    <row r="9" spans="1:8" x14ac:dyDescent="0.25">
      <c r="A9" s="442">
        <v>2</v>
      </c>
      <c r="B9" s="442" t="s">
        <v>331</v>
      </c>
      <c r="C9" s="443" t="e">
        <f>#REF!+0</f>
        <v>#REF!</v>
      </c>
      <c r="D9" s="443"/>
      <c r="E9" s="443"/>
      <c r="F9" s="443"/>
      <c r="G9" s="443"/>
    </row>
    <row r="10" spans="1:8" x14ac:dyDescent="0.25">
      <c r="A10" s="442"/>
      <c r="B10" s="442" t="s">
        <v>332</v>
      </c>
      <c r="C10" s="443"/>
      <c r="D10" s="443"/>
      <c r="E10" s="443"/>
      <c r="F10" s="443"/>
      <c r="G10" s="443"/>
    </row>
    <row r="11" spans="1:8" x14ac:dyDescent="0.25">
      <c r="A11" s="442">
        <v>3</v>
      </c>
      <c r="B11" s="442" t="s">
        <v>356</v>
      </c>
      <c r="C11" s="443" t="e">
        <f>#REF!+0</f>
        <v>#REF!</v>
      </c>
      <c r="D11" s="443"/>
      <c r="E11" s="443"/>
      <c r="F11" s="443"/>
      <c r="G11" s="443"/>
    </row>
    <row r="12" spans="1:8" x14ac:dyDescent="0.25">
      <c r="A12" s="442">
        <v>4</v>
      </c>
      <c r="B12" s="442" t="s">
        <v>333</v>
      </c>
      <c r="C12" s="443">
        <v>0</v>
      </c>
      <c r="D12" s="443"/>
      <c r="E12" s="443"/>
      <c r="F12" s="443"/>
      <c r="G12" s="443"/>
    </row>
    <row r="13" spans="1:8" x14ac:dyDescent="0.25">
      <c r="A13" s="442">
        <v>5</v>
      </c>
      <c r="B13" s="442" t="s">
        <v>334</v>
      </c>
      <c r="C13" s="443">
        <v>0</v>
      </c>
      <c r="D13" s="443">
        <v>0</v>
      </c>
      <c r="E13" s="443">
        <v>0</v>
      </c>
      <c r="F13" s="443">
        <v>0</v>
      </c>
      <c r="G13" s="443">
        <v>0</v>
      </c>
    </row>
    <row r="14" spans="1:8" x14ac:dyDescent="0.25">
      <c r="A14" s="442"/>
      <c r="B14" s="442" t="s">
        <v>335</v>
      </c>
      <c r="C14" s="445" t="e">
        <f t="shared" ref="C14:G14" si="0">SUM(C8:C13)</f>
        <v>#REF!</v>
      </c>
      <c r="D14" s="445">
        <f t="shared" si="0"/>
        <v>68038850</v>
      </c>
      <c r="E14" s="445">
        <f t="shared" si="0"/>
        <v>74846065</v>
      </c>
      <c r="F14" s="445">
        <f t="shared" si="0"/>
        <v>82420426</v>
      </c>
      <c r="G14" s="445">
        <f t="shared" si="0"/>
        <v>91141259.239999995</v>
      </c>
    </row>
    <row r="15" spans="1:8" x14ac:dyDescent="0.25">
      <c r="A15" s="643" t="s">
        <v>336</v>
      </c>
      <c r="B15" s="644"/>
      <c r="C15" s="446"/>
      <c r="D15" s="446"/>
      <c r="E15" s="446"/>
      <c r="F15" s="446"/>
      <c r="G15" s="446"/>
    </row>
    <row r="16" spans="1:8" x14ac:dyDescent="0.25">
      <c r="A16" s="442">
        <v>1</v>
      </c>
      <c r="B16" s="442" t="s">
        <v>337</v>
      </c>
      <c r="C16" s="446"/>
      <c r="D16" s="446"/>
      <c r="E16" s="446"/>
      <c r="F16" s="446"/>
      <c r="G16" s="446"/>
    </row>
    <row r="17" spans="1:8" x14ac:dyDescent="0.25">
      <c r="A17" s="447" t="s">
        <v>338</v>
      </c>
      <c r="B17" s="446" t="s">
        <v>339</v>
      </c>
      <c r="C17" s="448">
        <f>'2. Budget'!C60+0</f>
        <v>7951190</v>
      </c>
      <c r="D17" s="448"/>
      <c r="E17" s="448"/>
      <c r="F17" s="448"/>
      <c r="G17" s="448"/>
    </row>
    <row r="18" spans="1:8" x14ac:dyDescent="0.25">
      <c r="A18" s="447" t="s">
        <v>340</v>
      </c>
      <c r="B18" s="449" t="s">
        <v>341</v>
      </c>
      <c r="C18" s="448">
        <f>'2. Budget'!C61+0</f>
        <v>2949386.25</v>
      </c>
      <c r="D18" s="448"/>
      <c r="E18" s="448"/>
      <c r="F18" s="448"/>
      <c r="G18" s="448"/>
    </row>
    <row r="19" spans="1:8" x14ac:dyDescent="0.25">
      <c r="A19" s="447" t="s">
        <v>342</v>
      </c>
      <c r="B19" s="449" t="s">
        <v>343</v>
      </c>
      <c r="C19" s="448">
        <f>'2. Budget'!C62+0</f>
        <v>125000</v>
      </c>
      <c r="D19" s="448"/>
      <c r="E19" s="448"/>
      <c r="F19" s="448"/>
      <c r="G19" s="448"/>
    </row>
    <row r="20" spans="1:8" x14ac:dyDescent="0.25">
      <c r="A20" s="447" t="s">
        <v>344</v>
      </c>
      <c r="B20" s="449" t="s">
        <v>345</v>
      </c>
      <c r="C20" s="448">
        <f>'2. Budget'!C63+0</f>
        <v>54500</v>
      </c>
      <c r="D20" s="448"/>
      <c r="E20" s="448"/>
      <c r="F20" s="448"/>
      <c r="G20" s="448"/>
    </row>
    <row r="21" spans="1:8" x14ac:dyDescent="0.25">
      <c r="A21" s="447" t="s">
        <v>346</v>
      </c>
      <c r="B21" s="449" t="s">
        <v>347</v>
      </c>
      <c r="C21" s="448">
        <f>'2. Budget'!C65+0</f>
        <v>120000</v>
      </c>
      <c r="D21" s="443"/>
      <c r="E21" s="443"/>
      <c r="F21" s="443"/>
      <c r="G21" s="443"/>
    </row>
    <row r="22" spans="1:8" x14ac:dyDescent="0.25">
      <c r="A22" s="442">
        <v>2</v>
      </c>
      <c r="B22" s="442" t="s">
        <v>348</v>
      </c>
      <c r="C22" s="446"/>
      <c r="D22" s="446"/>
      <c r="E22" s="446"/>
      <c r="F22" s="446"/>
      <c r="G22" s="446"/>
    </row>
    <row r="23" spans="1:8" x14ac:dyDescent="0.25">
      <c r="A23" s="447" t="s">
        <v>338</v>
      </c>
      <c r="B23" s="446" t="s">
        <v>214</v>
      </c>
      <c r="C23" s="443">
        <f>'9. Expenses'!C16+0</f>
        <v>2234253</v>
      </c>
      <c r="D23" s="443">
        <f>'9. Expenses'!D16+0</f>
        <v>56852517</v>
      </c>
      <c r="E23" s="443">
        <f>'9. Expenses'!E16+0</f>
        <v>59202642.475000001</v>
      </c>
      <c r="F23" s="443">
        <f>'9. Expenses'!F16+0</f>
        <v>61484699.696124993</v>
      </c>
      <c r="G23" s="443">
        <f>'9. Expenses'!G16+0</f>
        <v>63768721.633766875</v>
      </c>
    </row>
    <row r="24" spans="1:8" x14ac:dyDescent="0.25">
      <c r="A24" s="447" t="s">
        <v>340</v>
      </c>
      <c r="B24" s="446" t="s">
        <v>222</v>
      </c>
      <c r="C24" s="443">
        <f>'9. Expenses'!C41+0</f>
        <v>1138543.21875</v>
      </c>
      <c r="D24" s="443">
        <f>'9. Expenses'!D41+0</f>
        <v>11248298.471875001</v>
      </c>
      <c r="E24" s="443">
        <f>'9. Expenses'!E41+0</f>
        <v>13929388.70109375</v>
      </c>
      <c r="F24" s="443">
        <f>'9. Expenses'!F41+0</f>
        <v>18885702.145929687</v>
      </c>
      <c r="G24" s="443">
        <f>'9. Expenses'!G41+0</f>
        <v>24243699.686540235</v>
      </c>
    </row>
    <row r="25" spans="1:8" x14ac:dyDescent="0.25">
      <c r="A25" s="450">
        <v>3</v>
      </c>
      <c r="B25" s="442" t="s">
        <v>349</v>
      </c>
      <c r="C25" s="443"/>
      <c r="D25" s="443"/>
      <c r="E25" s="443"/>
      <c r="F25" s="443"/>
      <c r="G25" s="443"/>
    </row>
    <row r="26" spans="1:8" x14ac:dyDescent="0.25">
      <c r="A26" s="442">
        <v>4</v>
      </c>
      <c r="B26" s="442" t="s">
        <v>350</v>
      </c>
      <c r="C26" s="443">
        <f>IF('[2]6.Cons Profit &amp; Loss'!B40&gt;1,'[2]6.Cons Profit &amp; Loss'!B40,0)</f>
        <v>0</v>
      </c>
      <c r="D26" s="443">
        <f>'[2]6.Cons Profit &amp; Loss'!C40</f>
        <v>0</v>
      </c>
      <c r="E26" s="443">
        <f>'[2]6.Cons Profit &amp; Loss'!D40</f>
        <v>0</v>
      </c>
      <c r="F26" s="443">
        <f>'[2]6.Cons Profit &amp; Loss'!E40</f>
        <v>0</v>
      </c>
      <c r="G26" s="443">
        <f>'[2]6.Cons Profit &amp; Loss'!F40</f>
        <v>0</v>
      </c>
    </row>
    <row r="27" spans="1:8" x14ac:dyDescent="0.25">
      <c r="A27" s="442"/>
      <c r="B27" s="442" t="s">
        <v>351</v>
      </c>
      <c r="C27" s="445">
        <f>SUM(C17:C26)</f>
        <v>14572872.46875</v>
      </c>
      <c r="D27" s="445">
        <f>SUM(D17:D26)</f>
        <v>68100815.471874997</v>
      </c>
      <c r="E27" s="445">
        <f>SUM(E17:E26)</f>
        <v>73132031.176093757</v>
      </c>
      <c r="F27" s="445">
        <f>SUM(F17:F26)</f>
        <v>80370401.84205468</v>
      </c>
      <c r="G27" s="445">
        <f>SUM(G17:G26)</f>
        <v>88012421.320307106</v>
      </c>
    </row>
    <row r="28" spans="1:8" x14ac:dyDescent="0.25">
      <c r="A28" s="442"/>
      <c r="B28" s="442" t="s">
        <v>352</v>
      </c>
      <c r="C28" s="445" t="e">
        <f>C14-C27</f>
        <v>#REF!</v>
      </c>
      <c r="D28" s="445">
        <f>D14-D27</f>
        <v>-61965.47187499702</v>
      </c>
      <c r="E28" s="445">
        <f>E14-E27</f>
        <v>1714033.8239062428</v>
      </c>
      <c r="F28" s="445">
        <f>F14-F27</f>
        <v>2050024.15794532</v>
      </c>
      <c r="G28" s="445">
        <f>G14-G27</f>
        <v>3128837.9196928889</v>
      </c>
    </row>
    <row r="29" spans="1:8" x14ac:dyDescent="0.25">
      <c r="A29" s="450"/>
      <c r="B29" s="446" t="s">
        <v>353</v>
      </c>
      <c r="C29" s="446"/>
      <c r="D29" s="443" t="e">
        <f t="shared" ref="D29:G29" si="1">C30</f>
        <v>#REF!</v>
      </c>
      <c r="E29" s="443" t="e">
        <f t="shared" si="1"/>
        <v>#REF!</v>
      </c>
      <c r="F29" s="443" t="e">
        <f t="shared" si="1"/>
        <v>#REF!</v>
      </c>
      <c r="G29" s="443" t="e">
        <f t="shared" si="1"/>
        <v>#REF!</v>
      </c>
    </row>
    <row r="30" spans="1:8" x14ac:dyDescent="0.25">
      <c r="A30" s="442"/>
      <c r="B30" s="451" t="s">
        <v>354</v>
      </c>
      <c r="C30" s="445" t="e">
        <f t="shared" ref="C30:G30" si="2">C28+C29</f>
        <v>#REF!</v>
      </c>
      <c r="D30" s="445" t="e">
        <f t="shared" si="2"/>
        <v>#REF!</v>
      </c>
      <c r="E30" s="445" t="e">
        <f t="shared" si="2"/>
        <v>#REF!</v>
      </c>
      <c r="F30" s="445" t="e">
        <f t="shared" si="2"/>
        <v>#REF!</v>
      </c>
      <c r="G30" s="445" t="e">
        <f t="shared" si="2"/>
        <v>#REF!</v>
      </c>
    </row>
    <row r="32" spans="1:8" ht="36" customHeight="1" x14ac:dyDescent="0.3">
      <c r="A32" s="645" t="s">
        <v>355</v>
      </c>
      <c r="B32" s="646"/>
      <c r="C32" s="646"/>
      <c r="D32" s="646"/>
      <c r="E32" s="646"/>
      <c r="F32" s="646"/>
      <c r="G32" s="646"/>
      <c r="H32" s="646"/>
    </row>
  </sheetData>
  <mergeCells count="3">
    <mergeCell ref="A3:G3"/>
    <mergeCell ref="A15:B15"/>
    <mergeCell ref="A32:H3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J28"/>
  <sheetViews>
    <sheetView workbookViewId="0">
      <selection activeCell="B6" sqref="B6:I21"/>
    </sheetView>
  </sheetViews>
  <sheetFormatPr defaultRowHeight="13.2" x14ac:dyDescent="0.25"/>
  <cols>
    <col min="1" max="1" width="10.44140625" bestFit="1" customWidth="1"/>
    <col min="2" max="2" width="11.88671875" style="111" customWidth="1"/>
    <col min="3" max="3" width="32.109375" bestFit="1" customWidth="1"/>
    <col min="4" max="4" width="12.88671875" customWidth="1"/>
    <col min="5" max="5" width="11.33203125" bestFit="1" customWidth="1"/>
    <col min="6" max="9" width="13.109375" bestFit="1" customWidth="1"/>
  </cols>
  <sheetData>
    <row r="3" spans="1:10" ht="17.399999999999999" x14ac:dyDescent="0.3">
      <c r="B3" s="642" t="s">
        <v>303</v>
      </c>
      <c r="C3" s="641"/>
      <c r="D3" s="641"/>
      <c r="E3" s="641"/>
      <c r="F3" s="641"/>
      <c r="G3" s="641"/>
      <c r="H3" s="641"/>
      <c r="I3" s="641"/>
    </row>
    <row r="5" spans="1:10" s="108" customFormat="1" x14ac:dyDescent="0.25">
      <c r="A5"/>
      <c r="B5"/>
      <c r="C5"/>
      <c r="D5"/>
      <c r="E5"/>
      <c r="F5"/>
      <c r="G5" s="204" t="s">
        <v>119</v>
      </c>
      <c r="H5"/>
      <c r="I5"/>
      <c r="J5"/>
    </row>
    <row r="6" spans="1:10" ht="14.4" x14ac:dyDescent="0.3">
      <c r="B6" s="648" t="s">
        <v>100</v>
      </c>
      <c r="C6" s="648" t="s">
        <v>0</v>
      </c>
      <c r="D6" s="650" t="s">
        <v>304</v>
      </c>
      <c r="E6" s="651" t="s">
        <v>305</v>
      </c>
      <c r="F6" s="652"/>
      <c r="G6" s="652"/>
      <c r="H6" s="652"/>
      <c r="I6" s="652"/>
    </row>
    <row r="7" spans="1:10" ht="13.8" x14ac:dyDescent="0.25">
      <c r="B7" s="649"/>
      <c r="C7" s="649"/>
      <c r="D7" s="649"/>
      <c r="E7" s="115" t="s">
        <v>306</v>
      </c>
      <c r="F7" s="115" t="s">
        <v>307</v>
      </c>
      <c r="G7" s="115" t="s">
        <v>308</v>
      </c>
      <c r="H7" s="115" t="s">
        <v>309</v>
      </c>
      <c r="I7" s="115" t="s">
        <v>310</v>
      </c>
    </row>
    <row r="8" spans="1:10" ht="13.8" x14ac:dyDescent="0.25">
      <c r="B8" s="116"/>
      <c r="C8" s="117"/>
      <c r="D8" s="117"/>
      <c r="E8" s="118"/>
      <c r="F8" s="118"/>
      <c r="G8" s="118"/>
      <c r="H8" s="118"/>
      <c r="I8" s="118"/>
    </row>
    <row r="9" spans="1:10" s="108" customFormat="1" ht="13.8" x14ac:dyDescent="0.25">
      <c r="A9"/>
      <c r="B9" s="119" t="s">
        <v>19</v>
      </c>
      <c r="C9" s="120" t="s">
        <v>311</v>
      </c>
      <c r="D9" s="119"/>
      <c r="E9" s="121"/>
      <c r="F9" s="121"/>
      <c r="G9" s="121"/>
      <c r="H9" s="121"/>
      <c r="I9" s="121"/>
      <c r="J9"/>
    </row>
    <row r="10" spans="1:10" ht="13.8" x14ac:dyDescent="0.25">
      <c r="B10" s="122">
        <v>6</v>
      </c>
      <c r="C10" s="154" t="s">
        <v>441</v>
      </c>
      <c r="D10" s="119">
        <v>14</v>
      </c>
      <c r="E10" s="121">
        <f>'4. balance sheet'!E10</f>
        <v>4501862</v>
      </c>
      <c r="F10" s="121">
        <f>'4. balance sheet'!F10</f>
        <v>7240358</v>
      </c>
      <c r="G10" s="121">
        <f>'4. balance sheet'!G10</f>
        <v>11331484</v>
      </c>
      <c r="H10" s="121">
        <f>'4. balance sheet'!H10</f>
        <v>15400378</v>
      </c>
      <c r="I10" s="121">
        <f>'4. balance sheet'!I10</f>
        <v>20244545</v>
      </c>
    </row>
    <row r="11" spans="1:10" ht="13.8" x14ac:dyDescent="0.25">
      <c r="B11" s="122"/>
      <c r="C11" s="123"/>
      <c r="D11" s="149"/>
      <c r="E11" s="121"/>
      <c r="F11" s="121"/>
      <c r="G11" s="121"/>
      <c r="H11" s="121"/>
      <c r="I11" s="121"/>
    </row>
    <row r="12" spans="1:10" ht="13.8" x14ac:dyDescent="0.25">
      <c r="B12" s="119"/>
      <c r="C12" s="120" t="s">
        <v>312</v>
      </c>
      <c r="D12" s="119"/>
      <c r="E12" s="121">
        <f>SUM(E10:E11)</f>
        <v>4501862</v>
      </c>
      <c r="F12" s="121">
        <f>SUM(F10:F11)</f>
        <v>7240358</v>
      </c>
      <c r="G12" s="121">
        <f>SUM(G10:G11)</f>
        <v>11331484</v>
      </c>
      <c r="H12" s="121">
        <f>SUM(H10:H11)</f>
        <v>15400378</v>
      </c>
      <c r="I12" s="121">
        <f>SUM(I10:I11)</f>
        <v>20244545</v>
      </c>
    </row>
    <row r="13" spans="1:10" ht="13.8" x14ac:dyDescent="0.25">
      <c r="B13" s="119" t="s">
        <v>20</v>
      </c>
      <c r="C13" s="120" t="s">
        <v>297</v>
      </c>
      <c r="D13" s="119"/>
      <c r="E13" s="121">
        <f>'[2]5.Closing Stock &amp; W Capital'!E2</f>
        <v>0</v>
      </c>
      <c r="F13" s="121">
        <f>'[2]5.Closing Stock &amp; W Capital'!F2</f>
        <v>0</v>
      </c>
      <c r="G13" s="121">
        <f>'[2]5.Closing Stock &amp; W Capital'!G2</f>
        <v>0</v>
      </c>
      <c r="H13" s="121">
        <f>'[2]5.Closing Stock &amp; W Capital'!H2</f>
        <v>0</v>
      </c>
      <c r="I13" s="121">
        <f>'[2]5.Closing Stock &amp; W Capital'!I2</f>
        <v>0</v>
      </c>
    </row>
    <row r="14" spans="1:10" ht="13.8" x14ac:dyDescent="0.25">
      <c r="B14" s="119"/>
      <c r="C14" s="123"/>
      <c r="D14" s="119"/>
      <c r="E14" s="121"/>
      <c r="F14" s="121"/>
      <c r="G14" s="121"/>
      <c r="H14" s="121"/>
      <c r="I14" s="121"/>
    </row>
    <row r="15" spans="1:10" ht="14.4" x14ac:dyDescent="0.3">
      <c r="B15" s="653" t="s">
        <v>1</v>
      </c>
      <c r="C15" s="654"/>
      <c r="D15" s="150"/>
      <c r="E15" s="124">
        <f t="shared" ref="E15:I15" si="0">SUM(E12:E13)</f>
        <v>4501862</v>
      </c>
      <c r="F15" s="124">
        <f t="shared" si="0"/>
        <v>7240358</v>
      </c>
      <c r="G15" s="124">
        <f t="shared" si="0"/>
        <v>11331484</v>
      </c>
      <c r="H15" s="124">
        <f t="shared" si="0"/>
        <v>15400378</v>
      </c>
      <c r="I15" s="124">
        <f t="shared" si="0"/>
        <v>20244545</v>
      </c>
    </row>
    <row r="16" spans="1:10" ht="13.8" x14ac:dyDescent="0.25">
      <c r="B16" s="119"/>
      <c r="C16" s="120"/>
      <c r="D16" s="119"/>
      <c r="E16" s="121"/>
      <c r="F16" s="121"/>
      <c r="G16" s="121"/>
      <c r="H16" s="121"/>
      <c r="I16" s="121"/>
    </row>
    <row r="17" spans="1:10" ht="27.6" x14ac:dyDescent="0.25">
      <c r="B17" s="119" t="s">
        <v>313</v>
      </c>
      <c r="C17" s="123" t="s">
        <v>314</v>
      </c>
      <c r="D17" s="119"/>
      <c r="E17" s="121"/>
      <c r="F17" s="121"/>
      <c r="G17" s="121"/>
      <c r="H17" s="121"/>
      <c r="I17" s="121"/>
    </row>
    <row r="18" spans="1:10" ht="13.8" x14ac:dyDescent="0.25">
      <c r="B18" s="122"/>
      <c r="C18" s="154" t="s">
        <v>442</v>
      </c>
      <c r="D18" s="119">
        <v>7</v>
      </c>
      <c r="E18" s="121" t="e">
        <f>'4. balance sheet'!E26</f>
        <v>#REF!</v>
      </c>
      <c r="F18" s="121" t="e">
        <f>'4. balance sheet'!F26</f>
        <v>#REF!</v>
      </c>
      <c r="G18" s="121" t="e">
        <f>'4. balance sheet'!G26</f>
        <v>#REF!</v>
      </c>
      <c r="H18" s="121" t="e">
        <f>'4. balance sheet'!H26</f>
        <v>#REF!</v>
      </c>
      <c r="I18" s="121" t="e">
        <f>'4. balance sheet'!I26</f>
        <v>#REF!</v>
      </c>
    </row>
    <row r="19" spans="1:10" ht="13.8" x14ac:dyDescent="0.25">
      <c r="B19" s="122"/>
      <c r="C19" s="123"/>
      <c r="D19" s="119"/>
      <c r="E19" s="121"/>
      <c r="F19" s="121"/>
      <c r="G19" s="121"/>
      <c r="H19" s="121"/>
      <c r="I19" s="121"/>
    </row>
    <row r="20" spans="1:10" ht="13.8" x14ac:dyDescent="0.25">
      <c r="B20" s="125"/>
      <c r="C20" s="120" t="s">
        <v>1</v>
      </c>
      <c r="D20" s="119"/>
      <c r="E20" s="124" t="e">
        <f>SUM(E18:E19)</f>
        <v>#REF!</v>
      </c>
      <c r="F20" s="124" t="e">
        <f>SUM(F18:F19)</f>
        <v>#REF!</v>
      </c>
      <c r="G20" s="124" t="e">
        <f>SUM(G18:G19)</f>
        <v>#REF!</v>
      </c>
      <c r="H20" s="124" t="e">
        <f>SUM(H18:H19)</f>
        <v>#REF!</v>
      </c>
      <c r="I20" s="124" t="e">
        <f>SUM(I18:I19)</f>
        <v>#REF!</v>
      </c>
    </row>
    <row r="21" spans="1:10" ht="13.8" x14ac:dyDescent="0.25">
      <c r="B21" s="119" t="s">
        <v>315</v>
      </c>
      <c r="C21" s="120" t="s">
        <v>77</v>
      </c>
      <c r="D21" s="119"/>
      <c r="E21" s="124" t="e">
        <f>E15-E20</f>
        <v>#REF!</v>
      </c>
      <c r="F21" s="124" t="e">
        <f>F15-F20</f>
        <v>#REF!</v>
      </c>
      <c r="G21" s="124" t="e">
        <f>G15-G20</f>
        <v>#REF!</v>
      </c>
      <c r="H21" s="124" t="e">
        <f>H15-H20</f>
        <v>#REF!</v>
      </c>
      <c r="I21" s="124" t="e">
        <f>I15-I20</f>
        <v>#REF!</v>
      </c>
    </row>
    <row r="22" spans="1:10" x14ac:dyDescent="0.25">
      <c r="B22"/>
    </row>
    <row r="23" spans="1:10" x14ac:dyDescent="0.25">
      <c r="B23"/>
      <c r="E23" s="126"/>
    </row>
    <row r="24" spans="1:10" x14ac:dyDescent="0.25">
      <c r="A24" s="647" t="s">
        <v>316</v>
      </c>
      <c r="B24" s="641"/>
      <c r="C24" s="641"/>
      <c r="D24" s="641"/>
      <c r="E24" s="641"/>
      <c r="F24" s="641"/>
      <c r="G24" s="641"/>
      <c r="H24" s="641"/>
      <c r="I24" s="641"/>
      <c r="J24" s="641"/>
    </row>
    <row r="25" spans="1:10" x14ac:dyDescent="0.25">
      <c r="A25" s="84" t="s">
        <v>317</v>
      </c>
      <c r="B25"/>
    </row>
    <row r="26" spans="1:10" x14ac:dyDescent="0.25">
      <c r="A26">
        <v>1</v>
      </c>
      <c r="B26" s="84" t="s">
        <v>318</v>
      </c>
    </row>
    <row r="27" spans="1:10" x14ac:dyDescent="0.25">
      <c r="A27">
        <v>2</v>
      </c>
      <c r="B27" s="84" t="s">
        <v>319</v>
      </c>
    </row>
    <row r="28" spans="1:10" ht="14.4" x14ac:dyDescent="0.3">
      <c r="A28">
        <v>3</v>
      </c>
      <c r="B28" s="127" t="s">
        <v>320</v>
      </c>
    </row>
  </sheetData>
  <mergeCells count="7">
    <mergeCell ref="A24:J24"/>
    <mergeCell ref="B3:I3"/>
    <mergeCell ref="B6:B7"/>
    <mergeCell ref="C6:C7"/>
    <mergeCell ref="D6:D7"/>
    <mergeCell ref="E6:I6"/>
    <mergeCell ref="B15:C1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L153"/>
  <sheetViews>
    <sheetView view="pageBreakPreview" zoomScaleNormal="70" zoomScaleSheetLayoutView="100" workbookViewId="0">
      <selection activeCell="E19" sqref="E19"/>
    </sheetView>
  </sheetViews>
  <sheetFormatPr defaultColWidth="9.109375" defaultRowHeight="10.199999999999999" x14ac:dyDescent="0.2"/>
  <cols>
    <col min="1" max="1" width="9.5546875" style="203" customWidth="1"/>
    <col min="2" max="2" width="24.88671875" style="203" customWidth="1"/>
    <col min="3" max="3" width="13" style="203" bestFit="1" customWidth="1"/>
    <col min="4" max="4" width="6.44140625" style="203" bestFit="1" customWidth="1"/>
    <col min="5" max="5" width="13" style="203" customWidth="1"/>
    <col min="6" max="6" width="18.109375" style="203" hidden="1" customWidth="1"/>
    <col min="7" max="7" width="19.88671875" style="203" hidden="1" customWidth="1"/>
    <col min="8" max="10" width="12" style="203" bestFit="1" customWidth="1"/>
    <col min="11" max="11" width="14.44140625" style="203" customWidth="1"/>
    <col min="12" max="12" width="15.44140625" style="203" customWidth="1"/>
    <col min="13" max="16384" width="9.109375" style="203"/>
  </cols>
  <sheetData>
    <row r="2" spans="1:12" x14ac:dyDescent="0.2">
      <c r="A2" s="202" t="s">
        <v>326</v>
      </c>
      <c r="I2" s="204"/>
    </row>
    <row r="3" spans="1:12" x14ac:dyDescent="0.2">
      <c r="A3" s="205"/>
      <c r="J3" s="204" t="s">
        <v>65</v>
      </c>
    </row>
    <row r="4" spans="1:12" ht="10.8" thickBot="1" x14ac:dyDescent="0.25">
      <c r="A4" s="206"/>
      <c r="B4" s="207"/>
      <c r="C4" s="207"/>
      <c r="D4" s="207"/>
      <c r="E4" s="207"/>
      <c r="F4" s="208" t="s">
        <v>112</v>
      </c>
      <c r="G4" s="208" t="s">
        <v>71</v>
      </c>
      <c r="H4" s="209" t="s">
        <v>3</v>
      </c>
      <c r="I4" s="208" t="s">
        <v>3</v>
      </c>
      <c r="J4" s="208" t="s">
        <v>3</v>
      </c>
      <c r="K4" s="208" t="s">
        <v>3</v>
      </c>
      <c r="L4" s="208" t="s">
        <v>3</v>
      </c>
    </row>
    <row r="5" spans="1:12" x14ac:dyDescent="0.2">
      <c r="A5" s="210" t="s">
        <v>100</v>
      </c>
      <c r="B5" s="211" t="s">
        <v>0</v>
      </c>
      <c r="C5" s="212"/>
      <c r="D5" s="213" t="s">
        <v>29</v>
      </c>
      <c r="E5" s="213"/>
      <c r="F5" s="213" t="s">
        <v>111</v>
      </c>
      <c r="G5" s="214" t="str">
        <f>+'3. profitability'!D7</f>
        <v>2018-19</v>
      </c>
      <c r="H5" s="215" t="str">
        <f>+'3. profitability'!E7</f>
        <v>Year I</v>
      </c>
      <c r="I5" s="214" t="str">
        <f>+'3. profitability'!F7</f>
        <v>Year II</v>
      </c>
      <c r="J5" s="214" t="str">
        <f>+'3. profitability'!G7</f>
        <v>Year III</v>
      </c>
      <c r="K5" s="214" t="str">
        <f>+'3. profitability'!H7</f>
        <v>Year IV</v>
      </c>
      <c r="L5" s="216" t="str">
        <f>+'3. profitability'!I7</f>
        <v>Year V</v>
      </c>
    </row>
    <row r="6" spans="1:12" x14ac:dyDescent="0.2">
      <c r="A6" s="217">
        <v>1</v>
      </c>
      <c r="B6" s="202" t="s">
        <v>251</v>
      </c>
      <c r="C6" s="218"/>
      <c r="D6" s="219">
        <v>0.15</v>
      </c>
      <c r="E6" s="220" t="s">
        <v>8</v>
      </c>
      <c r="F6" s="221">
        <v>33543</v>
      </c>
      <c r="G6" s="222">
        <v>0</v>
      </c>
      <c r="H6" s="222">
        <f>SUM(C7:C9)</f>
        <v>10860576.25</v>
      </c>
      <c r="I6" s="222">
        <f>+H9</f>
        <v>9231489.8125</v>
      </c>
      <c r="J6" s="222">
        <f>+I9</f>
        <v>7846766.3406250002</v>
      </c>
      <c r="K6" s="222">
        <f>+J9</f>
        <v>6669751.3895312501</v>
      </c>
      <c r="L6" s="223">
        <f>+K9</f>
        <v>5669288.6811015625</v>
      </c>
    </row>
    <row r="7" spans="1:12" x14ac:dyDescent="0.2">
      <c r="A7" s="217"/>
      <c r="B7" s="202" t="s">
        <v>494</v>
      </c>
      <c r="C7" s="218">
        <f>'2. Budget'!C60</f>
        <v>7951190</v>
      </c>
      <c r="D7" s="218"/>
      <c r="E7" s="218" t="s">
        <v>9</v>
      </c>
      <c r="F7" s="221">
        <v>0</v>
      </c>
      <c r="G7" s="222"/>
      <c r="H7" s="222">
        <v>0</v>
      </c>
      <c r="I7" s="222">
        <v>0</v>
      </c>
      <c r="J7" s="222">
        <v>0</v>
      </c>
      <c r="K7" s="222">
        <v>0</v>
      </c>
      <c r="L7" s="223">
        <v>0</v>
      </c>
    </row>
    <row r="8" spans="1:12" x14ac:dyDescent="0.2">
      <c r="A8" s="217"/>
      <c r="B8" s="202" t="s">
        <v>495</v>
      </c>
      <c r="C8" s="218">
        <f>'2. Budget'!C61-40000</f>
        <v>2909386.25</v>
      </c>
      <c r="D8" s="218"/>
      <c r="E8" s="218" t="s">
        <v>10</v>
      </c>
      <c r="F8" s="224">
        <f>F6*D6</f>
        <v>5031.45</v>
      </c>
      <c r="G8" s="222">
        <f>(G6*D6)+(G7*D6)/2</f>
        <v>0</v>
      </c>
      <c r="H8" s="222">
        <f>H6*D6</f>
        <v>1629086.4375</v>
      </c>
      <c r="I8" s="222">
        <f>I6*D6</f>
        <v>1384723.471875</v>
      </c>
      <c r="J8" s="222">
        <f>J6*D6</f>
        <v>1177014.9510937501</v>
      </c>
      <c r="K8" s="222">
        <f>K6*D6</f>
        <v>1000462.7084296874</v>
      </c>
      <c r="L8" s="223">
        <f>L6*D6</f>
        <v>850393.30216523435</v>
      </c>
    </row>
    <row r="9" spans="1:12" x14ac:dyDescent="0.2">
      <c r="A9" s="217"/>
      <c r="B9" s="202"/>
      <c r="C9" s="225"/>
      <c r="D9" s="225"/>
      <c r="E9" s="225" t="s">
        <v>11</v>
      </c>
      <c r="F9" s="226">
        <f>F6+F7-F8</f>
        <v>28511.55</v>
      </c>
      <c r="G9" s="227">
        <f>G6+G7-G8</f>
        <v>0</v>
      </c>
      <c r="H9" s="227">
        <f t="shared" ref="H9" si="0">H6+H7-H8</f>
        <v>9231489.8125</v>
      </c>
      <c r="I9" s="227">
        <f>I6+I7-I8</f>
        <v>7846766.3406250002</v>
      </c>
      <c r="J9" s="227">
        <f>J6+J7-J8</f>
        <v>6669751.3895312501</v>
      </c>
      <c r="K9" s="227">
        <f>K6+K7-K8</f>
        <v>5669288.6811015625</v>
      </c>
      <c r="L9" s="228">
        <f>L6+L7-L8</f>
        <v>4818895.378936328</v>
      </c>
    </row>
    <row r="10" spans="1:12" x14ac:dyDescent="0.2">
      <c r="A10" s="229"/>
      <c r="B10" s="230"/>
      <c r="C10" s="218"/>
      <c r="D10" s="218"/>
      <c r="E10" s="218"/>
      <c r="F10" s="221"/>
      <c r="G10" s="222"/>
      <c r="H10" s="222"/>
      <c r="I10" s="222"/>
      <c r="J10" s="222"/>
      <c r="K10" s="222"/>
      <c r="L10" s="223"/>
    </row>
    <row r="11" spans="1:12" x14ac:dyDescent="0.2">
      <c r="A11" s="229">
        <v>3</v>
      </c>
      <c r="B11" s="231" t="s">
        <v>243</v>
      </c>
      <c r="C11" s="218">
        <f>'2. Budget'!C63</f>
        <v>54500</v>
      </c>
      <c r="D11" s="232">
        <v>0.4</v>
      </c>
      <c r="E11" s="203" t="s">
        <v>8</v>
      </c>
      <c r="F11" s="221">
        <v>33543</v>
      </c>
      <c r="G11" s="222">
        <v>0</v>
      </c>
      <c r="H11" s="222">
        <f>C11+0</f>
        <v>54500</v>
      </c>
      <c r="I11" s="222">
        <f>+H14</f>
        <v>32700</v>
      </c>
      <c r="J11" s="222">
        <f>+I14</f>
        <v>19620</v>
      </c>
      <c r="K11" s="222">
        <f>+J14</f>
        <v>11772</v>
      </c>
      <c r="L11" s="223">
        <f>+K14</f>
        <v>7063.2</v>
      </c>
    </row>
    <row r="12" spans="1:12" x14ac:dyDescent="0.2">
      <c r="A12" s="229"/>
      <c r="B12" s="231"/>
      <c r="C12" s="218"/>
      <c r="D12" s="218"/>
      <c r="E12" s="218" t="s">
        <v>9</v>
      </c>
      <c r="F12" s="221">
        <v>0</v>
      </c>
      <c r="G12" s="222"/>
      <c r="H12" s="222">
        <v>0</v>
      </c>
      <c r="I12" s="222">
        <v>0</v>
      </c>
      <c r="J12" s="222">
        <v>0</v>
      </c>
      <c r="K12" s="222">
        <v>0</v>
      </c>
      <c r="L12" s="223">
        <v>0</v>
      </c>
    </row>
    <row r="13" spans="1:12" x14ac:dyDescent="0.2">
      <c r="A13" s="229"/>
      <c r="B13" s="230"/>
      <c r="C13" s="218"/>
      <c r="D13" s="218"/>
      <c r="E13" s="218" t="s">
        <v>10</v>
      </c>
      <c r="F13" s="224">
        <f>F11*D11</f>
        <v>13417.2</v>
      </c>
      <c r="G13" s="222">
        <f>(G11*D11)+(G12*D11)/2</f>
        <v>0</v>
      </c>
      <c r="H13" s="222">
        <f>H11*D11</f>
        <v>21800</v>
      </c>
      <c r="I13" s="222">
        <f>I11*D11</f>
        <v>13080</v>
      </c>
      <c r="J13" s="222">
        <f>J11*D11</f>
        <v>7848</v>
      </c>
      <c r="K13" s="222">
        <f>K11*D11</f>
        <v>4708.8</v>
      </c>
      <c r="L13" s="223">
        <f>L11*D11</f>
        <v>2825.28</v>
      </c>
    </row>
    <row r="14" spans="1:12" x14ac:dyDescent="0.2">
      <c r="A14" s="229"/>
      <c r="B14" s="230"/>
      <c r="C14" s="225"/>
      <c r="D14" s="225"/>
      <c r="E14" s="225" t="s">
        <v>11</v>
      </c>
      <c r="F14" s="226">
        <f t="shared" ref="F14:L14" si="1">F11+F12-F13</f>
        <v>20125.8</v>
      </c>
      <c r="G14" s="227">
        <f t="shared" si="1"/>
        <v>0</v>
      </c>
      <c r="H14" s="227">
        <f t="shared" si="1"/>
        <v>32700</v>
      </c>
      <c r="I14" s="227">
        <f t="shared" si="1"/>
        <v>19620</v>
      </c>
      <c r="J14" s="227">
        <f t="shared" si="1"/>
        <v>11772</v>
      </c>
      <c r="K14" s="227">
        <f t="shared" si="1"/>
        <v>7063.2</v>
      </c>
      <c r="L14" s="228">
        <f t="shared" si="1"/>
        <v>4237.92</v>
      </c>
    </row>
    <row r="15" spans="1:12" x14ac:dyDescent="0.2">
      <c r="A15" s="229"/>
      <c r="B15" s="230"/>
      <c r="C15" s="218"/>
      <c r="D15" s="218"/>
      <c r="E15" s="218"/>
      <c r="F15" s="221"/>
      <c r="G15" s="222"/>
      <c r="H15" s="222"/>
      <c r="I15" s="222"/>
      <c r="J15" s="222"/>
      <c r="K15" s="222"/>
      <c r="L15" s="223"/>
    </row>
    <row r="16" spans="1:12" x14ac:dyDescent="0.2">
      <c r="A16" s="229">
        <v>4</v>
      </c>
      <c r="B16" s="231" t="s">
        <v>247</v>
      </c>
      <c r="C16" s="218">
        <f>'2. Budget'!C62</f>
        <v>125000</v>
      </c>
      <c r="D16" s="232">
        <v>0.1</v>
      </c>
      <c r="E16" s="203" t="s">
        <v>8</v>
      </c>
      <c r="F16" s="221">
        <v>33543</v>
      </c>
      <c r="G16" s="222">
        <v>0</v>
      </c>
      <c r="H16" s="222">
        <f>C16+0</f>
        <v>125000</v>
      </c>
      <c r="I16" s="222">
        <f>+H19</f>
        <v>112500</v>
      </c>
      <c r="J16" s="222">
        <f>+I19</f>
        <v>101250</v>
      </c>
      <c r="K16" s="222">
        <f>+J19</f>
        <v>91125</v>
      </c>
      <c r="L16" s="223">
        <f>+K19</f>
        <v>82012.5</v>
      </c>
    </row>
    <row r="17" spans="1:12" x14ac:dyDescent="0.2">
      <c r="A17" s="229"/>
      <c r="B17" s="230"/>
      <c r="C17" s="218"/>
      <c r="D17" s="218"/>
      <c r="E17" s="218" t="s">
        <v>9</v>
      </c>
      <c r="F17" s="221">
        <v>0</v>
      </c>
      <c r="G17" s="222"/>
      <c r="H17" s="222">
        <v>0</v>
      </c>
      <c r="I17" s="222">
        <v>0</v>
      </c>
      <c r="J17" s="222">
        <v>0</v>
      </c>
      <c r="K17" s="222">
        <v>0</v>
      </c>
      <c r="L17" s="223">
        <v>0</v>
      </c>
    </row>
    <row r="18" spans="1:12" x14ac:dyDescent="0.2">
      <c r="A18" s="229"/>
      <c r="B18" s="230"/>
      <c r="C18" s="218"/>
      <c r="D18" s="218"/>
      <c r="E18" s="218" t="s">
        <v>10</v>
      </c>
      <c r="F18" s="224">
        <f>F16*D16</f>
        <v>3354.3</v>
      </c>
      <c r="G18" s="222">
        <f>(G16*D16)+(G17*D16)/2</f>
        <v>0</v>
      </c>
      <c r="H18" s="222">
        <f>H16*D16</f>
        <v>12500</v>
      </c>
      <c r="I18" s="222">
        <f>I16*D16</f>
        <v>11250</v>
      </c>
      <c r="J18" s="222">
        <f>J16*D16</f>
        <v>10125</v>
      </c>
      <c r="K18" s="222">
        <f>K16*D16</f>
        <v>9112.5</v>
      </c>
      <c r="L18" s="223">
        <f>L16*D16</f>
        <v>8201.25</v>
      </c>
    </row>
    <row r="19" spans="1:12" x14ac:dyDescent="0.2">
      <c r="A19" s="229"/>
      <c r="B19" s="230"/>
      <c r="C19" s="218"/>
      <c r="D19" s="218"/>
      <c r="E19" s="218" t="s">
        <v>11</v>
      </c>
      <c r="F19" s="224">
        <f t="shared" ref="F19:L19" si="2">F16+F17-F18</f>
        <v>30188.7</v>
      </c>
      <c r="G19" s="222">
        <f t="shared" si="2"/>
        <v>0</v>
      </c>
      <c r="H19" s="222">
        <f t="shared" si="2"/>
        <v>112500</v>
      </c>
      <c r="I19" s="222">
        <f t="shared" si="2"/>
        <v>101250</v>
      </c>
      <c r="J19" s="222">
        <f t="shared" si="2"/>
        <v>91125</v>
      </c>
      <c r="K19" s="222">
        <f t="shared" si="2"/>
        <v>82012.5</v>
      </c>
      <c r="L19" s="223">
        <f t="shared" si="2"/>
        <v>73811.25</v>
      </c>
    </row>
    <row r="20" spans="1:12" x14ac:dyDescent="0.2">
      <c r="A20" s="229">
        <v>5</v>
      </c>
      <c r="B20" s="230" t="s">
        <v>558</v>
      </c>
      <c r="C20" s="218">
        <f>'2. Budget'!C64</f>
        <v>1018000</v>
      </c>
      <c r="D20" s="232">
        <v>0.15</v>
      </c>
      <c r="E20" s="203" t="s">
        <v>8</v>
      </c>
      <c r="F20" s="221"/>
      <c r="G20" s="222"/>
      <c r="H20" s="222">
        <f>C20</f>
        <v>1018000</v>
      </c>
      <c r="I20" s="222">
        <f>H23</f>
        <v>865300</v>
      </c>
      <c r="J20" s="222">
        <f>I23</f>
        <v>735505</v>
      </c>
      <c r="K20" s="222">
        <f>J23</f>
        <v>625179.25</v>
      </c>
      <c r="L20" s="223">
        <f>K23</f>
        <v>531402.36250000005</v>
      </c>
    </row>
    <row r="21" spans="1:12" x14ac:dyDescent="0.2">
      <c r="A21" s="229"/>
      <c r="B21" s="230"/>
      <c r="C21" s="218"/>
      <c r="D21" s="218"/>
      <c r="E21" s="218" t="s">
        <v>9</v>
      </c>
      <c r="F21" s="221"/>
      <c r="G21" s="222"/>
      <c r="H21" s="603" t="s">
        <v>561</v>
      </c>
      <c r="I21" s="222"/>
      <c r="J21" s="222"/>
      <c r="K21" s="222"/>
      <c r="L21" s="223"/>
    </row>
    <row r="22" spans="1:12" x14ac:dyDescent="0.2">
      <c r="A22" s="229"/>
      <c r="B22" s="230"/>
      <c r="C22" s="218"/>
      <c r="D22" s="218"/>
      <c r="E22" s="218" t="s">
        <v>10</v>
      </c>
      <c r="F22" s="221"/>
      <c r="G22" s="222"/>
      <c r="H22" s="222">
        <f>H20*15%</f>
        <v>152700</v>
      </c>
      <c r="I22" s="222">
        <f t="shared" ref="I22:L22" si="3">I20*15%</f>
        <v>129795</v>
      </c>
      <c r="J22" s="222">
        <f t="shared" si="3"/>
        <v>110325.75</v>
      </c>
      <c r="K22" s="222">
        <f t="shared" si="3"/>
        <v>93776.887499999997</v>
      </c>
      <c r="L22" s="222">
        <f t="shared" si="3"/>
        <v>79710.35437500001</v>
      </c>
    </row>
    <row r="23" spans="1:12" x14ac:dyDescent="0.2">
      <c r="A23" s="229"/>
      <c r="B23" s="230"/>
      <c r="C23" s="218"/>
      <c r="D23" s="218"/>
      <c r="E23" s="218" t="s">
        <v>11</v>
      </c>
      <c r="F23" s="221"/>
      <c r="G23" s="222"/>
      <c r="H23" s="222">
        <f>H20-H22</f>
        <v>865300</v>
      </c>
      <c r="I23" s="222">
        <f t="shared" ref="I23:L23" si="4">I20-I22</f>
        <v>735505</v>
      </c>
      <c r="J23" s="222">
        <f t="shared" si="4"/>
        <v>625179.25</v>
      </c>
      <c r="K23" s="222">
        <f t="shared" si="4"/>
        <v>531402.36250000005</v>
      </c>
      <c r="L23" s="222">
        <f t="shared" si="4"/>
        <v>451692.00812500005</v>
      </c>
    </row>
    <row r="24" spans="1:12" x14ac:dyDescent="0.2">
      <c r="A24" s="233"/>
      <c r="B24" s="234"/>
      <c r="C24" s="225"/>
      <c r="D24" s="225"/>
      <c r="E24" s="225"/>
      <c r="F24" s="235"/>
      <c r="G24" s="227"/>
      <c r="H24" s="227"/>
      <c r="I24" s="227"/>
      <c r="J24" s="227"/>
      <c r="K24" s="227"/>
      <c r="L24" s="228"/>
    </row>
    <row r="25" spans="1:12" x14ac:dyDescent="0.2">
      <c r="A25" s="217"/>
      <c r="B25" s="202"/>
      <c r="C25" s="218"/>
      <c r="D25" s="218"/>
      <c r="E25" s="218"/>
      <c r="F25" s="224" t="e">
        <f>#REF!+#REF!-#REF!</f>
        <v>#REF!</v>
      </c>
      <c r="G25" s="222" t="e">
        <f>#REF!+#REF!-#REF!</f>
        <v>#REF!</v>
      </c>
      <c r="H25" s="222"/>
      <c r="I25" s="222"/>
      <c r="J25" s="222"/>
      <c r="K25" s="222"/>
      <c r="L25" s="223"/>
    </row>
    <row r="26" spans="1:12" hidden="1" x14ac:dyDescent="0.2">
      <c r="A26" s="217">
        <v>3</v>
      </c>
      <c r="B26" s="202" t="s">
        <v>156</v>
      </c>
      <c r="C26" s="218"/>
      <c r="D26" s="219">
        <v>0.15</v>
      </c>
      <c r="E26" s="218" t="s">
        <v>8</v>
      </c>
      <c r="F26" s="221">
        <v>42988</v>
      </c>
      <c r="G26" s="222">
        <v>0</v>
      </c>
      <c r="H26" s="222">
        <v>0</v>
      </c>
      <c r="I26" s="222">
        <f>+H29</f>
        <v>0</v>
      </c>
      <c r="J26" s="222">
        <f>+I29</f>
        <v>0</v>
      </c>
      <c r="K26" s="222">
        <f>+J29</f>
        <v>0</v>
      </c>
      <c r="L26" s="223">
        <f>+K29</f>
        <v>0</v>
      </c>
    </row>
    <row r="27" spans="1:12" hidden="1" x14ac:dyDescent="0.2">
      <c r="A27" s="217"/>
      <c r="B27" s="202"/>
      <c r="C27" s="218"/>
      <c r="D27" s="218"/>
      <c r="E27" s="218" t="s">
        <v>9</v>
      </c>
      <c r="F27" s="221">
        <v>0</v>
      </c>
      <c r="G27" s="222"/>
      <c r="H27" s="222">
        <v>0</v>
      </c>
      <c r="I27" s="222">
        <v>0</v>
      </c>
      <c r="J27" s="222">
        <v>0</v>
      </c>
      <c r="K27" s="222">
        <v>0</v>
      </c>
      <c r="L27" s="223">
        <v>0</v>
      </c>
    </row>
    <row r="28" spans="1:12" hidden="1" x14ac:dyDescent="0.2">
      <c r="A28" s="217"/>
      <c r="B28" s="202"/>
      <c r="C28" s="218"/>
      <c r="D28" s="218"/>
      <c r="E28" s="218" t="s">
        <v>10</v>
      </c>
      <c r="F28" s="224">
        <f>F26*D26</f>
        <v>6448.2</v>
      </c>
      <c r="G28" s="222">
        <f>(G26*D26)+(G27*D26)/2</f>
        <v>0</v>
      </c>
      <c r="H28" s="222">
        <f>H26*D26</f>
        <v>0</v>
      </c>
      <c r="I28" s="222">
        <f>I26*D26</f>
        <v>0</v>
      </c>
      <c r="J28" s="222">
        <f>J26*D26</f>
        <v>0</v>
      </c>
      <c r="K28" s="222">
        <f>K26*D26</f>
        <v>0</v>
      </c>
      <c r="L28" s="223">
        <f>L26*D26</f>
        <v>0</v>
      </c>
    </row>
    <row r="29" spans="1:12" hidden="1" x14ac:dyDescent="0.2">
      <c r="A29" s="217"/>
      <c r="B29" s="202"/>
      <c r="C29" s="218"/>
      <c r="D29" s="218"/>
      <c r="E29" s="218" t="s">
        <v>11</v>
      </c>
      <c r="F29" s="224">
        <f>F26+F27-F28</f>
        <v>36539.800000000003</v>
      </c>
      <c r="G29" s="222">
        <f>G26+G27-G28</f>
        <v>0</v>
      </c>
      <c r="H29" s="222">
        <f t="shared" ref="H29" si="5">H26+H27-H28</f>
        <v>0</v>
      </c>
      <c r="I29" s="222">
        <f>I26+I27-I28</f>
        <v>0</v>
      </c>
      <c r="J29" s="222">
        <f>J26+J27-J28</f>
        <v>0</v>
      </c>
      <c r="K29" s="222">
        <f>K26+K27-K28</f>
        <v>0</v>
      </c>
      <c r="L29" s="223">
        <f>L26+L27-L28</f>
        <v>0</v>
      </c>
    </row>
    <row r="30" spans="1:12" hidden="1" x14ac:dyDescent="0.2">
      <c r="A30" s="233"/>
      <c r="B30" s="236"/>
      <c r="C30" s="225"/>
      <c r="D30" s="225"/>
      <c r="E30" s="225"/>
      <c r="F30" s="235"/>
      <c r="G30" s="227"/>
      <c r="H30" s="227"/>
      <c r="I30" s="227"/>
      <c r="J30" s="227"/>
      <c r="K30" s="227"/>
      <c r="L30" s="228"/>
    </row>
    <row r="31" spans="1:12" hidden="1" x14ac:dyDescent="0.2">
      <c r="A31" s="217">
        <v>4</v>
      </c>
      <c r="B31" s="202" t="s">
        <v>145</v>
      </c>
      <c r="C31" s="218"/>
      <c r="D31" s="219">
        <v>0.15</v>
      </c>
      <c r="E31" s="218" t="s">
        <v>8</v>
      </c>
      <c r="F31" s="221">
        <v>16581</v>
      </c>
      <c r="G31" s="222">
        <v>0</v>
      </c>
      <c r="H31" s="222">
        <f>G34</f>
        <v>0</v>
      </c>
      <c r="I31" s="222">
        <f>H34</f>
        <v>0</v>
      </c>
      <c r="J31" s="222">
        <f>I34</f>
        <v>0</v>
      </c>
      <c r="K31" s="222">
        <f>J34</f>
        <v>0</v>
      </c>
      <c r="L31" s="223">
        <f t="shared" ref="L31" si="6">K34</f>
        <v>0</v>
      </c>
    </row>
    <row r="32" spans="1:12" hidden="1" x14ac:dyDescent="0.2">
      <c r="A32" s="217"/>
      <c r="B32" s="202"/>
      <c r="C32" s="218"/>
      <c r="D32" s="218"/>
      <c r="E32" s="218" t="s">
        <v>9</v>
      </c>
      <c r="F32" s="221"/>
      <c r="G32" s="222"/>
      <c r="H32" s="222">
        <f>75000*0</f>
        <v>0</v>
      </c>
      <c r="I32" s="222">
        <v>0</v>
      </c>
      <c r="J32" s="222">
        <v>0</v>
      </c>
      <c r="K32" s="222">
        <v>0</v>
      </c>
      <c r="L32" s="223">
        <v>0</v>
      </c>
    </row>
    <row r="33" spans="1:12" hidden="1" x14ac:dyDescent="0.2">
      <c r="A33" s="217"/>
      <c r="B33" s="202"/>
      <c r="C33" s="218"/>
      <c r="D33" s="218"/>
      <c r="E33" s="218" t="s">
        <v>10</v>
      </c>
      <c r="F33" s="224">
        <f>F31*D31</f>
        <v>2487.15</v>
      </c>
      <c r="G33" s="222">
        <f>(G31*D31)+(G32*D31/2)</f>
        <v>0</v>
      </c>
      <c r="H33" s="222">
        <f>(H31+H32)*D31</f>
        <v>0</v>
      </c>
      <c r="I33" s="222">
        <f>I31*D31</f>
        <v>0</v>
      </c>
      <c r="J33" s="222">
        <f>J31*D31</f>
        <v>0</v>
      </c>
      <c r="K33" s="222">
        <f>K31*D31</f>
        <v>0</v>
      </c>
      <c r="L33" s="223">
        <f>L31*D31</f>
        <v>0</v>
      </c>
    </row>
    <row r="34" spans="1:12" hidden="1" x14ac:dyDescent="0.2">
      <c r="A34" s="217"/>
      <c r="B34" s="202"/>
      <c r="C34" s="218"/>
      <c r="D34" s="218"/>
      <c r="E34" s="218" t="s">
        <v>11</v>
      </c>
      <c r="F34" s="224">
        <f>F31+F32-F33</f>
        <v>14093.85</v>
      </c>
      <c r="G34" s="222">
        <f>G31+G32-G33</f>
        <v>0</v>
      </c>
      <c r="H34" s="222">
        <f t="shared" ref="H34" si="7">H31+H32-H33</f>
        <v>0</v>
      </c>
      <c r="I34" s="222">
        <f>I31+I32-I33</f>
        <v>0</v>
      </c>
      <c r="J34" s="222">
        <f>J31+J32-J33</f>
        <v>0</v>
      </c>
      <c r="K34" s="222">
        <f t="shared" ref="K34:L34" si="8">K31+K32-K33</f>
        <v>0</v>
      </c>
      <c r="L34" s="223">
        <f t="shared" si="8"/>
        <v>0</v>
      </c>
    </row>
    <row r="35" spans="1:12" hidden="1" x14ac:dyDescent="0.2">
      <c r="A35" s="233"/>
      <c r="B35" s="236"/>
      <c r="C35" s="225"/>
      <c r="D35" s="225"/>
      <c r="E35" s="225"/>
      <c r="F35" s="235"/>
      <c r="G35" s="227"/>
      <c r="H35" s="227"/>
      <c r="I35" s="227"/>
      <c r="J35" s="227"/>
      <c r="K35" s="227"/>
      <c r="L35" s="228"/>
    </row>
    <row r="36" spans="1:12" hidden="1" x14ac:dyDescent="0.2">
      <c r="A36" s="217">
        <v>5</v>
      </c>
      <c r="B36" s="202" t="s">
        <v>146</v>
      </c>
      <c r="C36" s="218"/>
      <c r="D36" s="219">
        <v>0.15</v>
      </c>
      <c r="E36" s="218" t="s">
        <v>8</v>
      </c>
      <c r="F36" s="221">
        <v>16581</v>
      </c>
      <c r="G36" s="222">
        <v>0</v>
      </c>
      <c r="H36" s="222">
        <f>G39</f>
        <v>0</v>
      </c>
      <c r="I36" s="222">
        <f>H39</f>
        <v>0</v>
      </c>
      <c r="J36" s="222">
        <f>I39</f>
        <v>0</v>
      </c>
      <c r="K36" s="222">
        <f>J39</f>
        <v>0</v>
      </c>
      <c r="L36" s="223">
        <f t="shared" ref="L36" si="9">K39</f>
        <v>0</v>
      </c>
    </row>
    <row r="37" spans="1:12" hidden="1" x14ac:dyDescent="0.2">
      <c r="A37" s="217"/>
      <c r="B37" s="202"/>
      <c r="C37" s="218"/>
      <c r="D37" s="218"/>
      <c r="E37" s="218" t="s">
        <v>9</v>
      </c>
      <c r="F37" s="221"/>
      <c r="G37" s="222"/>
      <c r="H37" s="222">
        <v>0</v>
      </c>
      <c r="I37" s="222">
        <v>0</v>
      </c>
      <c r="J37" s="222">
        <v>0</v>
      </c>
      <c r="K37" s="222">
        <v>0</v>
      </c>
      <c r="L37" s="223">
        <v>0</v>
      </c>
    </row>
    <row r="38" spans="1:12" hidden="1" x14ac:dyDescent="0.2">
      <c r="A38" s="217"/>
      <c r="B38" s="202"/>
      <c r="C38" s="218"/>
      <c r="D38" s="218"/>
      <c r="E38" s="218" t="s">
        <v>10</v>
      </c>
      <c r="F38" s="224">
        <f>F36*D36</f>
        <v>2487.15</v>
      </c>
      <c r="G38" s="222">
        <f>(G36*D36)+(G37*D36/2)</f>
        <v>0</v>
      </c>
      <c r="H38" s="222">
        <f>(H36+H37)*D36</f>
        <v>0</v>
      </c>
      <c r="I38" s="222">
        <f>I36*D36</f>
        <v>0</v>
      </c>
      <c r="J38" s="222">
        <f>J36*D36</f>
        <v>0</v>
      </c>
      <c r="K38" s="222">
        <f>K36*D36</f>
        <v>0</v>
      </c>
      <c r="L38" s="223">
        <f>L36*D36</f>
        <v>0</v>
      </c>
    </row>
    <row r="39" spans="1:12" hidden="1" x14ac:dyDescent="0.2">
      <c r="A39" s="217"/>
      <c r="B39" s="202"/>
      <c r="C39" s="218"/>
      <c r="D39" s="218"/>
      <c r="E39" s="218" t="s">
        <v>11</v>
      </c>
      <c r="F39" s="224">
        <f>F36+F37-F38</f>
        <v>14093.85</v>
      </c>
      <c r="G39" s="222">
        <f>G36+G37-G38</f>
        <v>0</v>
      </c>
      <c r="H39" s="222">
        <f t="shared" ref="H39" si="10">H36+H37-H38</f>
        <v>0</v>
      </c>
      <c r="I39" s="222">
        <f>I36+I37-I38</f>
        <v>0</v>
      </c>
      <c r="J39" s="222">
        <f>J36+J37-J38</f>
        <v>0</v>
      </c>
      <c r="K39" s="222">
        <f t="shared" ref="K39:L39" si="11">K36+K37-K38</f>
        <v>0</v>
      </c>
      <c r="L39" s="223">
        <f t="shared" si="11"/>
        <v>0</v>
      </c>
    </row>
    <row r="40" spans="1:12" hidden="1" x14ac:dyDescent="0.2">
      <c r="A40" s="233"/>
      <c r="B40" s="236"/>
      <c r="C40" s="225"/>
      <c r="D40" s="225"/>
      <c r="E40" s="225"/>
      <c r="F40" s="235"/>
      <c r="G40" s="227"/>
      <c r="H40" s="227"/>
      <c r="I40" s="227"/>
      <c r="J40" s="227"/>
      <c r="K40" s="227"/>
      <c r="L40" s="228"/>
    </row>
    <row r="41" spans="1:12" hidden="1" x14ac:dyDescent="0.2">
      <c r="A41" s="217">
        <v>5</v>
      </c>
      <c r="B41" s="202" t="s">
        <v>122</v>
      </c>
      <c r="C41" s="218"/>
      <c r="D41" s="219">
        <v>0.15</v>
      </c>
      <c r="E41" s="218" t="s">
        <v>8</v>
      </c>
      <c r="F41" s="221">
        <v>16581</v>
      </c>
      <c r="G41" s="222">
        <v>0</v>
      </c>
      <c r="H41" s="222">
        <f>G44</f>
        <v>0</v>
      </c>
      <c r="I41" s="222">
        <f>H44</f>
        <v>0</v>
      </c>
      <c r="J41" s="222">
        <f>I44</f>
        <v>0</v>
      </c>
      <c r="K41" s="222">
        <f>J44</f>
        <v>0</v>
      </c>
      <c r="L41" s="223">
        <f t="shared" ref="L41" si="12">K44</f>
        <v>0</v>
      </c>
    </row>
    <row r="42" spans="1:12" hidden="1" x14ac:dyDescent="0.2">
      <c r="A42" s="217"/>
      <c r="B42" s="202"/>
      <c r="C42" s="218"/>
      <c r="D42" s="218"/>
      <c r="E42" s="218" t="s">
        <v>9</v>
      </c>
      <c r="F42" s="221"/>
      <c r="G42" s="222"/>
      <c r="H42" s="222">
        <f>7465*0</f>
        <v>0</v>
      </c>
      <c r="I42" s="222">
        <v>0</v>
      </c>
      <c r="J42" s="222">
        <v>0</v>
      </c>
      <c r="K42" s="222">
        <v>0</v>
      </c>
      <c r="L42" s="223">
        <v>0</v>
      </c>
    </row>
    <row r="43" spans="1:12" hidden="1" x14ac:dyDescent="0.2">
      <c r="A43" s="217"/>
      <c r="B43" s="202"/>
      <c r="C43" s="218"/>
      <c r="D43" s="218"/>
      <c r="E43" s="218" t="s">
        <v>10</v>
      </c>
      <c r="F43" s="224">
        <f>F41*D41</f>
        <v>2487.15</v>
      </c>
      <c r="G43" s="222">
        <f>(G41*D41)+(G42*D41/2)</f>
        <v>0</v>
      </c>
      <c r="H43" s="222">
        <f>(H41+H42)*D41</f>
        <v>0</v>
      </c>
      <c r="I43" s="222">
        <f>I41*D41</f>
        <v>0</v>
      </c>
      <c r="J43" s="222">
        <f>J41*D41</f>
        <v>0</v>
      </c>
      <c r="K43" s="222">
        <f>K41*D41</f>
        <v>0</v>
      </c>
      <c r="L43" s="223">
        <f>L41*D41</f>
        <v>0</v>
      </c>
    </row>
    <row r="44" spans="1:12" hidden="1" x14ac:dyDescent="0.2">
      <c r="A44" s="217"/>
      <c r="B44" s="202"/>
      <c r="C44" s="218"/>
      <c r="D44" s="218"/>
      <c r="E44" s="218" t="s">
        <v>11</v>
      </c>
      <c r="F44" s="224">
        <f>F41+F42-F43</f>
        <v>14093.85</v>
      </c>
      <c r="G44" s="222">
        <f>G41+G42-G43</f>
        <v>0</v>
      </c>
      <c r="H44" s="222">
        <f t="shared" ref="H44" si="13">H41+H42-H43</f>
        <v>0</v>
      </c>
      <c r="I44" s="222">
        <f>I41+I42-I43</f>
        <v>0</v>
      </c>
      <c r="J44" s="222">
        <f>J41+J42-J43</f>
        <v>0</v>
      </c>
      <c r="K44" s="222">
        <f t="shared" ref="K44:L44" si="14">K41+K42-K43</f>
        <v>0</v>
      </c>
      <c r="L44" s="223">
        <f t="shared" si="14"/>
        <v>0</v>
      </c>
    </row>
    <row r="45" spans="1:12" hidden="1" x14ac:dyDescent="0.2">
      <c r="A45" s="233"/>
      <c r="B45" s="236"/>
      <c r="C45" s="225"/>
      <c r="D45" s="225"/>
      <c r="E45" s="225"/>
      <c r="F45" s="235"/>
      <c r="G45" s="227"/>
      <c r="H45" s="227"/>
      <c r="I45" s="227"/>
      <c r="J45" s="227"/>
      <c r="K45" s="227"/>
      <c r="L45" s="228"/>
    </row>
    <row r="46" spans="1:12" hidden="1" x14ac:dyDescent="0.2">
      <c r="A46" s="217">
        <v>3</v>
      </c>
      <c r="B46" s="202" t="s">
        <v>125</v>
      </c>
      <c r="C46" s="218"/>
      <c r="D46" s="219">
        <v>0.15</v>
      </c>
      <c r="E46" s="218" t="s">
        <v>8</v>
      </c>
      <c r="F46" s="221">
        <v>16581</v>
      </c>
      <c r="G46" s="222">
        <v>0</v>
      </c>
      <c r="H46" s="222">
        <f>G49</f>
        <v>0</v>
      </c>
      <c r="I46" s="222">
        <f>H49</f>
        <v>0</v>
      </c>
      <c r="J46" s="222">
        <f>I49</f>
        <v>0</v>
      </c>
      <c r="K46" s="222">
        <f>J49</f>
        <v>0</v>
      </c>
      <c r="L46" s="223">
        <f t="shared" ref="L46" si="15">K49</f>
        <v>0</v>
      </c>
    </row>
    <row r="47" spans="1:12" hidden="1" x14ac:dyDescent="0.2">
      <c r="A47" s="217"/>
      <c r="B47" s="202"/>
      <c r="C47" s="218"/>
      <c r="D47" s="218"/>
      <c r="E47" s="218" t="s">
        <v>9</v>
      </c>
      <c r="F47" s="221"/>
      <c r="G47" s="222"/>
      <c r="H47" s="222">
        <v>0</v>
      </c>
      <c r="I47" s="222">
        <v>0</v>
      </c>
      <c r="J47" s="222">
        <v>0</v>
      </c>
      <c r="K47" s="222">
        <v>0</v>
      </c>
      <c r="L47" s="223">
        <v>0</v>
      </c>
    </row>
    <row r="48" spans="1:12" hidden="1" x14ac:dyDescent="0.2">
      <c r="A48" s="217"/>
      <c r="B48" s="202"/>
      <c r="C48" s="218"/>
      <c r="D48" s="218"/>
      <c r="E48" s="218" t="s">
        <v>10</v>
      </c>
      <c r="F48" s="224">
        <f>F46*D46</f>
        <v>2487.15</v>
      </c>
      <c r="G48" s="222">
        <f>(G46*D46)+(G47*D46/2)</f>
        <v>0</v>
      </c>
      <c r="H48" s="222">
        <f>(H46+H47)*D46</f>
        <v>0</v>
      </c>
      <c r="I48" s="222">
        <f>I46*D46</f>
        <v>0</v>
      </c>
      <c r="J48" s="222">
        <f>J46*D46</f>
        <v>0</v>
      </c>
      <c r="K48" s="222">
        <f>K46*D46</f>
        <v>0</v>
      </c>
      <c r="L48" s="223">
        <f>L46*D46</f>
        <v>0</v>
      </c>
    </row>
    <row r="49" spans="1:12" hidden="1" x14ac:dyDescent="0.2">
      <c r="A49" s="217"/>
      <c r="B49" s="202"/>
      <c r="C49" s="218"/>
      <c r="D49" s="218"/>
      <c r="E49" s="218" t="s">
        <v>11</v>
      </c>
      <c r="F49" s="224">
        <f>F46+F47-F48</f>
        <v>14093.85</v>
      </c>
      <c r="G49" s="222">
        <f>G46+G47-G48</f>
        <v>0</v>
      </c>
      <c r="H49" s="222">
        <f t="shared" ref="H49" si="16">H46+H47-H48</f>
        <v>0</v>
      </c>
      <c r="I49" s="222">
        <f>I46+I47-I48</f>
        <v>0</v>
      </c>
      <c r="J49" s="222">
        <f>J46+J47-J48</f>
        <v>0</v>
      </c>
      <c r="K49" s="222">
        <f t="shared" ref="K49:L49" si="17">K46+K47-K48</f>
        <v>0</v>
      </c>
      <c r="L49" s="223">
        <f t="shared" si="17"/>
        <v>0</v>
      </c>
    </row>
    <row r="50" spans="1:12" hidden="1" x14ac:dyDescent="0.2">
      <c r="A50" s="233"/>
      <c r="B50" s="236"/>
      <c r="C50" s="225"/>
      <c r="D50" s="225"/>
      <c r="E50" s="225"/>
      <c r="F50" s="235"/>
      <c r="G50" s="227"/>
      <c r="H50" s="227"/>
      <c r="I50" s="227"/>
      <c r="J50" s="227"/>
      <c r="K50" s="227"/>
      <c r="L50" s="228"/>
    </row>
    <row r="51" spans="1:12" hidden="1" x14ac:dyDescent="0.2">
      <c r="A51" s="217"/>
      <c r="B51" s="202"/>
      <c r="C51" s="218"/>
      <c r="D51" s="218"/>
      <c r="E51" s="218"/>
      <c r="F51" s="221"/>
      <c r="G51" s="222"/>
      <c r="H51" s="222"/>
      <c r="I51" s="222"/>
      <c r="J51" s="222"/>
      <c r="K51" s="222"/>
      <c r="L51" s="223"/>
    </row>
    <row r="52" spans="1:12" hidden="1" x14ac:dyDescent="0.2">
      <c r="A52" s="217">
        <v>4</v>
      </c>
      <c r="B52" s="202" t="s">
        <v>155</v>
      </c>
      <c r="C52" s="218"/>
      <c r="D52" s="219">
        <v>0.15</v>
      </c>
      <c r="E52" s="218" t="s">
        <v>8</v>
      </c>
      <c r="F52" s="221">
        <v>60000</v>
      </c>
      <c r="G52" s="222">
        <v>0</v>
      </c>
      <c r="H52" s="222">
        <f>G55</f>
        <v>0</v>
      </c>
      <c r="I52" s="222">
        <f t="shared" ref="I52" si="18">H55</f>
        <v>0</v>
      </c>
      <c r="J52" s="222">
        <f>I55</f>
        <v>0</v>
      </c>
      <c r="K52" s="222">
        <f>J55</f>
        <v>0</v>
      </c>
      <c r="L52" s="223">
        <f t="shared" ref="L52" si="19">K55</f>
        <v>0</v>
      </c>
    </row>
    <row r="53" spans="1:12" hidden="1" x14ac:dyDescent="0.2">
      <c r="A53" s="217"/>
      <c r="B53" s="202"/>
      <c r="C53" s="218"/>
      <c r="D53" s="219"/>
      <c r="E53" s="218" t="s">
        <v>9</v>
      </c>
      <c r="F53" s="221">
        <v>0</v>
      </c>
      <c r="G53" s="222"/>
      <c r="H53" s="222">
        <v>0</v>
      </c>
      <c r="I53" s="222">
        <v>0</v>
      </c>
      <c r="J53" s="222">
        <v>0</v>
      </c>
      <c r="K53" s="222">
        <v>0</v>
      </c>
      <c r="L53" s="223">
        <v>0</v>
      </c>
    </row>
    <row r="54" spans="1:12" hidden="1" x14ac:dyDescent="0.2">
      <c r="A54" s="217"/>
      <c r="B54" s="202"/>
      <c r="C54" s="218"/>
      <c r="D54" s="219"/>
      <c r="E54" s="218" t="s">
        <v>10</v>
      </c>
      <c r="F54" s="221">
        <f>F52*D52</f>
        <v>9000</v>
      </c>
      <c r="G54" s="222">
        <f>(G52*D52)+(G53*D52)/2</f>
        <v>0</v>
      </c>
      <c r="H54" s="222">
        <f>H53*D52</f>
        <v>0</v>
      </c>
      <c r="I54" s="222">
        <f>I52*D52</f>
        <v>0</v>
      </c>
      <c r="J54" s="222">
        <f>J52*D52</f>
        <v>0</v>
      </c>
      <c r="K54" s="222">
        <f>K52*D52</f>
        <v>0</v>
      </c>
      <c r="L54" s="223">
        <f>L52*D52</f>
        <v>0</v>
      </c>
    </row>
    <row r="55" spans="1:12" hidden="1" x14ac:dyDescent="0.2">
      <c r="A55" s="217"/>
      <c r="B55" s="202"/>
      <c r="C55" s="218"/>
      <c r="D55" s="219"/>
      <c r="E55" s="218" t="s">
        <v>11</v>
      </c>
      <c r="F55" s="224">
        <f>F52+F53-F54</f>
        <v>51000</v>
      </c>
      <c r="G55" s="222">
        <f>G52+G53-G54</f>
        <v>0</v>
      </c>
      <c r="H55" s="222">
        <f t="shared" ref="H55" si="20">H52+H53-H54</f>
        <v>0</v>
      </c>
      <c r="I55" s="222">
        <f>I52+I53-I54</f>
        <v>0</v>
      </c>
      <c r="J55" s="222">
        <f>J52+J53-J54</f>
        <v>0</v>
      </c>
      <c r="K55" s="222">
        <f>K52+K53-K54</f>
        <v>0</v>
      </c>
      <c r="L55" s="223">
        <f t="shared" ref="L55" si="21">L52+L53-L54</f>
        <v>0</v>
      </c>
    </row>
    <row r="56" spans="1:12" hidden="1" x14ac:dyDescent="0.2">
      <c r="A56" s="233"/>
      <c r="B56" s="236"/>
      <c r="C56" s="225"/>
      <c r="D56" s="237"/>
      <c r="E56" s="225"/>
      <c r="F56" s="235"/>
      <c r="G56" s="227"/>
      <c r="H56" s="227"/>
      <c r="I56" s="227"/>
      <c r="J56" s="227"/>
      <c r="K56" s="227"/>
      <c r="L56" s="228"/>
    </row>
    <row r="57" spans="1:12" ht="26.25" customHeight="1" x14ac:dyDescent="0.2">
      <c r="A57" s="217"/>
      <c r="B57" s="238" t="s">
        <v>30</v>
      </c>
      <c r="C57" s="218">
        <f>SUM(C7:C24)</f>
        <v>12058076.25</v>
      </c>
      <c r="D57" s="218"/>
      <c r="E57" s="218"/>
      <c r="F57" s="224">
        <f>+F9+F34+F55+F29</f>
        <v>130145.2</v>
      </c>
      <c r="G57" s="224">
        <f>+G9+G34+G55+G29+G39+G49</f>
        <v>0</v>
      </c>
      <c r="H57" s="224">
        <f>H9+H14+H19+H23</f>
        <v>10241989.8125</v>
      </c>
      <c r="I57" s="224">
        <f t="shared" ref="I57:L57" si="22">I9+I14+I19+I23</f>
        <v>8703141.3406249993</v>
      </c>
      <c r="J57" s="224">
        <f t="shared" si="22"/>
        <v>7397827.6395312501</v>
      </c>
      <c r="K57" s="224">
        <f t="shared" si="22"/>
        <v>6289766.7436015625</v>
      </c>
      <c r="L57" s="224">
        <f t="shared" si="22"/>
        <v>5348636.5570613276</v>
      </c>
    </row>
    <row r="58" spans="1:12" x14ac:dyDescent="0.2">
      <c r="A58" s="217"/>
      <c r="B58" s="202"/>
      <c r="C58" s="218"/>
      <c r="D58" s="218"/>
      <c r="E58" s="218"/>
      <c r="F58" s="224"/>
      <c r="G58" s="224"/>
      <c r="H58" s="224"/>
      <c r="I58" s="224"/>
      <c r="J58" s="224"/>
      <c r="K58" s="224"/>
      <c r="L58" s="223"/>
    </row>
    <row r="59" spans="1:12" x14ac:dyDescent="0.2">
      <c r="A59" s="217"/>
      <c r="B59" s="202" t="s">
        <v>31</v>
      </c>
      <c r="C59" s="218"/>
      <c r="D59" s="218"/>
      <c r="E59" s="218"/>
      <c r="F59" s="224">
        <f>F8+F33+F54+F28</f>
        <v>22966.799999999999</v>
      </c>
      <c r="G59" s="224">
        <f>G8+G33+G54+G28+G38+G48</f>
        <v>0</v>
      </c>
      <c r="H59" s="224">
        <f>H8+H13+H18+H22</f>
        <v>1816086.4375</v>
      </c>
      <c r="I59" s="224">
        <f t="shared" ref="I59:L59" si="23">I8+I13+I18+I22</f>
        <v>1538848.471875</v>
      </c>
      <c r="J59" s="224">
        <f t="shared" si="23"/>
        <v>1305313.7010937501</v>
      </c>
      <c r="K59" s="224">
        <f t="shared" si="23"/>
        <v>1108060.8959296874</v>
      </c>
      <c r="L59" s="224">
        <f t="shared" si="23"/>
        <v>941130.18654023437</v>
      </c>
    </row>
    <row r="60" spans="1:12" ht="10.8" thickBot="1" x14ac:dyDescent="0.25">
      <c r="A60" s="239"/>
      <c r="B60" s="240"/>
      <c r="C60" s="241"/>
      <c r="D60" s="241"/>
      <c r="E60" s="241"/>
      <c r="F60" s="240"/>
      <c r="G60" s="242"/>
      <c r="H60" s="242"/>
      <c r="I60" s="242"/>
      <c r="J60" s="242"/>
      <c r="K60" s="242"/>
      <c r="L60" s="242"/>
    </row>
    <row r="61" spans="1:12" x14ac:dyDescent="0.2">
      <c r="A61" s="206"/>
    </row>
    <row r="62" spans="1:12" x14ac:dyDescent="0.2">
      <c r="A62" s="206"/>
    </row>
    <row r="63" spans="1:12" x14ac:dyDescent="0.2">
      <c r="A63" s="206"/>
    </row>
    <row r="64" spans="1:12" x14ac:dyDescent="0.2">
      <c r="A64" s="206"/>
    </row>
    <row r="65" spans="1:1" x14ac:dyDescent="0.2">
      <c r="A65" s="206"/>
    </row>
    <row r="66" spans="1:1" x14ac:dyDescent="0.2">
      <c r="A66" s="206"/>
    </row>
    <row r="67" spans="1:1" x14ac:dyDescent="0.2">
      <c r="A67" s="206"/>
    </row>
    <row r="68" spans="1:1" x14ac:dyDescent="0.2">
      <c r="A68" s="206"/>
    </row>
    <row r="69" spans="1:1" x14ac:dyDescent="0.2">
      <c r="A69" s="206"/>
    </row>
    <row r="70" spans="1:1" x14ac:dyDescent="0.2">
      <c r="A70" s="206"/>
    </row>
    <row r="71" spans="1:1" x14ac:dyDescent="0.2">
      <c r="A71" s="206"/>
    </row>
    <row r="72" spans="1:1" x14ac:dyDescent="0.2">
      <c r="A72" s="206"/>
    </row>
    <row r="73" spans="1:1" x14ac:dyDescent="0.2">
      <c r="A73" s="206"/>
    </row>
    <row r="74" spans="1:1" x14ac:dyDescent="0.2">
      <c r="A74" s="206"/>
    </row>
    <row r="75" spans="1:1" x14ac:dyDescent="0.2">
      <c r="A75" s="206"/>
    </row>
    <row r="76" spans="1:1" x14ac:dyDescent="0.2">
      <c r="A76" s="206"/>
    </row>
    <row r="77" spans="1:1" x14ac:dyDescent="0.2">
      <c r="A77" s="206"/>
    </row>
    <row r="78" spans="1:1" x14ac:dyDescent="0.2">
      <c r="A78" s="206"/>
    </row>
    <row r="79" spans="1:1" x14ac:dyDescent="0.2">
      <c r="A79" s="206"/>
    </row>
    <row r="80" spans="1:1" x14ac:dyDescent="0.2">
      <c r="A80" s="206"/>
    </row>
    <row r="81" spans="1:1" x14ac:dyDescent="0.2">
      <c r="A81" s="206"/>
    </row>
    <row r="82" spans="1:1" x14ac:dyDescent="0.2">
      <c r="A82" s="206"/>
    </row>
    <row r="83" spans="1:1" x14ac:dyDescent="0.2">
      <c r="A83" s="206"/>
    </row>
    <row r="84" spans="1:1" x14ac:dyDescent="0.2">
      <c r="A84" s="206"/>
    </row>
    <row r="85" spans="1:1" x14ac:dyDescent="0.2">
      <c r="A85" s="206"/>
    </row>
    <row r="86" spans="1:1" x14ac:dyDescent="0.2">
      <c r="A86" s="206"/>
    </row>
    <row r="87" spans="1:1" x14ac:dyDescent="0.2">
      <c r="A87" s="206"/>
    </row>
    <row r="88" spans="1:1" x14ac:dyDescent="0.2">
      <c r="A88" s="206"/>
    </row>
    <row r="89" spans="1:1" x14ac:dyDescent="0.2">
      <c r="A89" s="206"/>
    </row>
    <row r="90" spans="1:1" x14ac:dyDescent="0.2">
      <c r="A90" s="206"/>
    </row>
    <row r="91" spans="1:1" x14ac:dyDescent="0.2">
      <c r="A91" s="206"/>
    </row>
    <row r="92" spans="1:1" x14ac:dyDescent="0.2">
      <c r="A92" s="206"/>
    </row>
    <row r="93" spans="1:1" x14ac:dyDescent="0.2">
      <c r="A93" s="206"/>
    </row>
    <row r="94" spans="1:1" x14ac:dyDescent="0.2">
      <c r="A94" s="206"/>
    </row>
    <row r="95" spans="1:1" x14ac:dyDescent="0.2">
      <c r="A95" s="206"/>
    </row>
    <row r="96" spans="1:1" x14ac:dyDescent="0.2">
      <c r="A96" s="206"/>
    </row>
    <row r="97" spans="1:1" x14ac:dyDescent="0.2">
      <c r="A97" s="206"/>
    </row>
    <row r="98" spans="1:1" x14ac:dyDescent="0.2">
      <c r="A98" s="206"/>
    </row>
    <row r="99" spans="1:1" x14ac:dyDescent="0.2">
      <c r="A99" s="206"/>
    </row>
    <row r="100" spans="1:1" x14ac:dyDescent="0.2">
      <c r="A100" s="206"/>
    </row>
    <row r="101" spans="1:1" x14ac:dyDescent="0.2">
      <c r="A101" s="206"/>
    </row>
    <row r="102" spans="1:1" x14ac:dyDescent="0.2">
      <c r="A102" s="206"/>
    </row>
    <row r="103" spans="1:1" x14ac:dyDescent="0.2">
      <c r="A103" s="206"/>
    </row>
    <row r="104" spans="1:1" x14ac:dyDescent="0.2">
      <c r="A104" s="206"/>
    </row>
    <row r="105" spans="1:1" x14ac:dyDescent="0.2">
      <c r="A105" s="206"/>
    </row>
    <row r="106" spans="1:1" x14ac:dyDescent="0.2">
      <c r="A106" s="206"/>
    </row>
    <row r="107" spans="1:1" x14ac:dyDescent="0.2">
      <c r="A107" s="206"/>
    </row>
    <row r="108" spans="1:1" x14ac:dyDescent="0.2">
      <c r="A108" s="206"/>
    </row>
    <row r="109" spans="1:1" x14ac:dyDescent="0.2">
      <c r="A109" s="206"/>
    </row>
    <row r="110" spans="1:1" x14ac:dyDescent="0.2">
      <c r="A110" s="206"/>
    </row>
    <row r="111" spans="1:1" x14ac:dyDescent="0.2">
      <c r="A111" s="206"/>
    </row>
    <row r="112" spans="1:1" x14ac:dyDescent="0.2">
      <c r="A112" s="206"/>
    </row>
    <row r="113" spans="1:1" x14ac:dyDescent="0.2">
      <c r="A113" s="206"/>
    </row>
    <row r="114" spans="1:1" x14ac:dyDescent="0.2">
      <c r="A114" s="206"/>
    </row>
    <row r="115" spans="1:1" x14ac:dyDescent="0.2">
      <c r="A115" s="206"/>
    </row>
    <row r="116" spans="1:1" x14ac:dyDescent="0.2">
      <c r="A116" s="206"/>
    </row>
    <row r="117" spans="1:1" x14ac:dyDescent="0.2">
      <c r="A117" s="206"/>
    </row>
    <row r="118" spans="1:1" x14ac:dyDescent="0.2">
      <c r="A118" s="206"/>
    </row>
    <row r="119" spans="1:1" x14ac:dyDescent="0.2">
      <c r="A119" s="206"/>
    </row>
    <row r="120" spans="1:1" x14ac:dyDescent="0.2">
      <c r="A120" s="206"/>
    </row>
    <row r="121" spans="1:1" x14ac:dyDescent="0.2">
      <c r="A121" s="206"/>
    </row>
    <row r="122" spans="1:1" x14ac:dyDescent="0.2">
      <c r="A122" s="206"/>
    </row>
    <row r="123" spans="1:1" x14ac:dyDescent="0.2">
      <c r="A123" s="206"/>
    </row>
    <row r="124" spans="1:1" x14ac:dyDescent="0.2">
      <c r="A124" s="206"/>
    </row>
    <row r="125" spans="1:1" x14ac:dyDescent="0.2">
      <c r="A125" s="206"/>
    </row>
    <row r="126" spans="1:1" x14ac:dyDescent="0.2">
      <c r="A126" s="206"/>
    </row>
    <row r="127" spans="1:1" x14ac:dyDescent="0.2">
      <c r="A127" s="206"/>
    </row>
    <row r="128" spans="1:1" x14ac:dyDescent="0.2">
      <c r="A128" s="206"/>
    </row>
    <row r="129" spans="1:1" x14ac:dyDescent="0.2">
      <c r="A129" s="206"/>
    </row>
    <row r="130" spans="1:1" x14ac:dyDescent="0.2">
      <c r="A130" s="206"/>
    </row>
    <row r="131" spans="1:1" x14ac:dyDescent="0.2">
      <c r="A131" s="206"/>
    </row>
    <row r="132" spans="1:1" x14ac:dyDescent="0.2">
      <c r="A132" s="206"/>
    </row>
    <row r="133" spans="1:1" x14ac:dyDescent="0.2">
      <c r="A133" s="206"/>
    </row>
    <row r="134" spans="1:1" x14ac:dyDescent="0.2">
      <c r="A134" s="206"/>
    </row>
    <row r="135" spans="1:1" x14ac:dyDescent="0.2">
      <c r="A135" s="206"/>
    </row>
    <row r="136" spans="1:1" x14ac:dyDescent="0.2">
      <c r="A136" s="206"/>
    </row>
    <row r="137" spans="1:1" x14ac:dyDescent="0.2">
      <c r="A137" s="206"/>
    </row>
    <row r="138" spans="1:1" x14ac:dyDescent="0.2">
      <c r="A138" s="206"/>
    </row>
    <row r="139" spans="1:1" x14ac:dyDescent="0.2">
      <c r="A139" s="206"/>
    </row>
    <row r="140" spans="1:1" x14ac:dyDescent="0.2">
      <c r="A140" s="206"/>
    </row>
    <row r="141" spans="1:1" x14ac:dyDescent="0.2">
      <c r="A141" s="206"/>
    </row>
    <row r="142" spans="1:1" x14ac:dyDescent="0.2">
      <c r="A142" s="206"/>
    </row>
    <row r="143" spans="1:1" x14ac:dyDescent="0.2">
      <c r="A143" s="206"/>
    </row>
    <row r="144" spans="1:1" x14ac:dyDescent="0.2">
      <c r="A144" s="206"/>
    </row>
    <row r="145" spans="1:1" x14ac:dyDescent="0.2">
      <c r="A145" s="206"/>
    </row>
    <row r="146" spans="1:1" x14ac:dyDescent="0.2">
      <c r="A146" s="206"/>
    </row>
    <row r="147" spans="1:1" x14ac:dyDescent="0.2">
      <c r="A147" s="206"/>
    </row>
    <row r="148" spans="1:1" x14ac:dyDescent="0.2">
      <c r="A148" s="206"/>
    </row>
    <row r="149" spans="1:1" x14ac:dyDescent="0.2">
      <c r="A149" s="206"/>
    </row>
    <row r="150" spans="1:1" x14ac:dyDescent="0.2">
      <c r="A150" s="206"/>
    </row>
    <row r="151" spans="1:1" x14ac:dyDescent="0.2">
      <c r="A151" s="206"/>
    </row>
    <row r="152" spans="1:1" x14ac:dyDescent="0.2">
      <c r="A152" s="206"/>
    </row>
    <row r="153" spans="1:1" x14ac:dyDescent="0.2">
      <c r="A153" s="206"/>
    </row>
  </sheetData>
  <phoneticPr fontId="0" type="noConversion"/>
  <printOptions horizontalCentered="1" verticalCentered="1"/>
  <pageMargins left="0.511811023622047" right="0.511811023622047" top="0.511811023622047" bottom="0.511811023622047" header="0" footer="0"/>
  <pageSetup paperSize="9" scale="7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6</vt:i4>
      </vt:variant>
    </vt:vector>
  </HeadingPairs>
  <TitlesOfParts>
    <vt:vector size="24" baseType="lpstr">
      <vt:lpstr>logo</vt:lpstr>
      <vt:lpstr>Project at Glance</vt:lpstr>
      <vt:lpstr>2. Budget</vt:lpstr>
      <vt:lpstr>3. profitability</vt:lpstr>
      <vt:lpstr>Sheet1</vt:lpstr>
      <vt:lpstr>4. balance sheet</vt:lpstr>
      <vt:lpstr>5. Cash Flow</vt:lpstr>
      <vt:lpstr>6. Working Capital</vt:lpstr>
      <vt:lpstr>7. depreciation</vt:lpstr>
      <vt:lpstr>assmt WC</vt:lpstr>
      <vt:lpstr>Asset List</vt:lpstr>
      <vt:lpstr>Interest</vt:lpstr>
      <vt:lpstr>8.Sales</vt:lpstr>
      <vt:lpstr>9. Expenses</vt:lpstr>
      <vt:lpstr>10. Financial Indicators</vt:lpstr>
      <vt:lpstr>11.CL</vt:lpstr>
      <vt:lpstr>Sheet3</vt:lpstr>
      <vt:lpstr>Sheet2</vt:lpstr>
      <vt:lpstr>'3. profitability'!Print_Area</vt:lpstr>
      <vt:lpstr>'4. balance sheet'!Print_Area</vt:lpstr>
      <vt:lpstr>'7. depreciation'!Print_Area</vt:lpstr>
      <vt:lpstr>'Asset List'!Print_Area</vt:lpstr>
      <vt:lpstr>'assmt WC'!Print_Area</vt:lpstr>
      <vt:lpstr>logo!Print_Area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COMP4</dc:creator>
  <cp:lastModifiedBy>hp</cp:lastModifiedBy>
  <cp:lastPrinted>2022-04-17T16:50:58Z</cp:lastPrinted>
  <dcterms:created xsi:type="dcterms:W3CDTF">2003-03-10T06:16:33Z</dcterms:created>
  <dcterms:modified xsi:type="dcterms:W3CDTF">2023-06-09T04:06:14Z</dcterms:modified>
</cp:coreProperties>
</file>